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175" activeTab="0"/>
  </bookViews>
  <sheets>
    <sheet name="Összesített ktgvetés" sheetId="1" r:id="rId1"/>
    <sheet name="Bevételek" sheetId="2" r:id="rId2"/>
    <sheet name="Kiadások" sheetId="3" r:id="rId3"/>
    <sheet name="Bevétel" sheetId="4" r:id="rId4"/>
    <sheet name="Kiadás" sheetId="5" r:id="rId5"/>
    <sheet name="Bér" sheetId="6" r:id="rId6"/>
    <sheet name="Mérleg" sheetId="7" r:id="rId7"/>
    <sheet name="Rövid távú" sheetId="8" r:id="rId8"/>
    <sheet name="Felhasználás" sheetId="9" r:id="rId9"/>
    <sheet name="Normatív támogatás" sheetId="10" r:id="rId10"/>
    <sheet name="Munka5" sheetId="11" r:id="rId11"/>
    <sheet name="Munka1" sheetId="12" r:id="rId12"/>
  </sheets>
  <externalReferences>
    <externalReference r:id="rId15"/>
    <externalReference r:id="rId16"/>
    <externalReference r:id="rId17"/>
  </externalReferences>
  <definedNames/>
  <calcPr fullCalcOnLoad="1"/>
</workbook>
</file>

<file path=xl/comments1.xml><?xml version="1.0" encoding="utf-8"?>
<comments xmlns="http://schemas.openxmlformats.org/spreadsheetml/2006/main">
  <authors>
    <author>SAVAS</author>
  </authors>
  <commentList>
    <comment ref="B8" authorId="0">
      <text>
        <r>
          <rPr>
            <b/>
            <sz val="9"/>
            <rFont val="Tahoma"/>
            <family val="2"/>
          </rPr>
          <t>SAVAS:</t>
        </r>
        <r>
          <rPr>
            <sz val="9"/>
            <rFont val="Tahoma"/>
            <family val="2"/>
          </rPr>
          <t xml:space="preserve">
előző évi követelési bevétel
</t>
        </r>
      </text>
    </comment>
    <comment ref="B12" authorId="0">
      <text>
        <r>
          <rPr>
            <b/>
            <sz val="9"/>
            <rFont val="Tahoma"/>
            <family val="2"/>
          </rPr>
          <t>SAVAS:</t>
        </r>
        <r>
          <rPr>
            <sz val="9"/>
            <rFont val="Tahoma"/>
            <family val="2"/>
          </rPr>
          <t xml:space="preserve">
tárgyévi igénybe vett támogatás
</t>
        </r>
      </text>
    </comment>
  </commentList>
</comments>
</file>

<file path=xl/comments3.xml><?xml version="1.0" encoding="utf-8"?>
<comments xmlns="http://schemas.openxmlformats.org/spreadsheetml/2006/main">
  <authors>
    <author>SAVAS</author>
  </authors>
  <commentList>
    <comment ref="B30" authorId="0">
      <text>
        <r>
          <rPr>
            <b/>
            <sz val="9"/>
            <rFont val="Tahoma"/>
            <family val="2"/>
          </rPr>
          <t>SAVAS:</t>
        </r>
        <r>
          <rPr>
            <sz val="9"/>
            <rFont val="Tahoma"/>
            <family val="2"/>
          </rPr>
          <t xml:space="preserve">
 Ezen a rovaton kell elszámolni
a) a gyógyszerek, gyógyszernek nem minősülő gyógyhatású készítmények, tápszerek, vér- és vérkészítmények, a gyógyászati diagnosztikai segédanyagok beszerzése után fizetett vételárat,
b) a gyógyszer alapanyagként használt vegyszerek, valamint a szakmai – termelési, oktatási, kutatási – felhasználású vegyszerek beszerzése után fizetett vételárat,
c) a tevékenységét segítő és a napi, rendszeres tájékoztatást szolgáló, papír alapú eszközök – így különösen könyvek, közlönyök, jogi információk, napilapok, folyóiratok – beszerzése, előfizetése után fizetett vételárat,
d) az olyan informatikai eszközök, elektronikus könyvek, egyéb információhordozók beszerzése után fizetett vételárat, amelyek a tevékenységet legfeljebb egy évig szolgálják, és
e) a szakmai feladatok ellátásához szükséges kisértékű informatikai eszközök és más tárgyi eszközök, szellemi termékek beszerzése után fizetett vételárat.</t>
        </r>
      </text>
    </comment>
    <comment ref="B31" authorId="0">
      <text>
        <r>
          <rPr>
            <b/>
            <sz val="9"/>
            <rFont val="Tahoma"/>
            <family val="2"/>
          </rPr>
          <t>SAVAS:</t>
        </r>
        <r>
          <rPr>
            <sz val="9"/>
            <rFont val="Tahoma"/>
            <family val="2"/>
          </rPr>
          <t xml:space="preserve">
 Ezen a rovaton kell elszámolni
a) az élelmiszerek, élelmezési nyersanyagok beszerzése után fizetett vételárat,
b) az irodai papír és a nyomtatványok beszerzése után fizetett vételárat, továbbá minden, irodai célt szolgáló anyag – így különösen irattartó, tűzőgép, irodai kapcsok, naptár, ceruza, toll, radír, ragasztó, lyukasztó – beszerzése után fizetett vételárat,
c) a nyomtatási, sokszorosítási feladatokkal összefüggő anyagok – így különösen festék, festékpatron – beszerzése után fizetett vételárat,
d) a tüzelőanyagok, folyékony és gáznemű energiahordozók, járművekhez hajtó- és kenőanyagok beszerzése után fizetett vételárat,
e) a fogvatartottak, ellátottak ruházata, valamint a ruházati költségtérítésnél nem szerepeltethető munka- és védőruha beszerzése után fizetett vételárat, és
f) mindazon anyagok, kisértékű tárgyi eszközök, szellemi termékek beszerzése után fizetett vételárat, amelyek nem számolhatók el szakmai anyag beszerzéseként.</t>
        </r>
      </text>
    </comment>
    <comment ref="B32" authorId="0">
      <text>
        <r>
          <rPr>
            <b/>
            <sz val="9"/>
            <rFont val="Tahoma"/>
            <family val="2"/>
          </rPr>
          <t>SAVAS:</t>
        </r>
        <r>
          <rPr>
            <sz val="9"/>
            <rFont val="Tahoma"/>
            <family val="2"/>
          </rPr>
          <t xml:space="preserve">
</t>
        </r>
      </text>
    </comment>
    <comment ref="B34" authorId="0">
      <text>
        <r>
          <rPr>
            <b/>
            <sz val="9"/>
            <rFont val="Tahoma"/>
            <family val="2"/>
          </rPr>
          <t>SAVAS:</t>
        </r>
        <r>
          <rPr>
            <sz val="9"/>
            <rFont val="Tahoma"/>
            <family val="2"/>
          </rPr>
          <t xml:space="preserve">
 Ezen a rovaton kell elszámolni
a) a számítógépes rendszer tervezésére, az erre vonatkozó tanácsadásra, számítógéprendszer, illetve adatfeldolgozó berendezések kiépítésére, helyszíni irányítására, üzemeltetésére – ide értve a számítógépek üzembe helyezését, szoftverek telepítését is, ha azok nem részei azok vételárának –, valamint az ezeket segítő tevékenységekre irányuló szolgáltatás után fizetett vételárat,
b) a számítógépes programozásra, így különösen adatbázisok készítésére, szoftverek írására, meglevő alkalmazások módosítására és konfigurálására, ezek tesztelésére irányuló szolgáltatás után fizetett vételárat,
c) az informatikai eszközök, pénzkiadó automaták (ATM), nem mechanikus működésű bolti kártyaleolvasó (POS) terminálok kölcsönzése, bérlete, lízingelése, javítása, karbantartása vételárát, díját,
d) a szoftverek kölcsönzésének, bérletének, lízingelésének vételárát, a felsőoktatási és a köznevelési intézmények jogtiszta szoftver licenc biztosításával összefüggésben kifizetett összegeket,
e) az adatrögzítésre, adatfeldolgozásra, web-hosztingra irányuló szolgáltatás után fizetett vételárat,
f) a világhálón megjelenő oldalak, internetes portálok tervezésére, elkészítésére, működtetésére irányuló szolgáltatás után fizetett vételárat,
g) a számítógépek között megvalósuló adatátviteli célú távközlési kapcsolatok díjait, és
h) a számítógépes oktatásra irányuló szolgáltatás után fizetett vételárat.</t>
        </r>
      </text>
    </comment>
    <comment ref="B35" authorId="0">
      <text>
        <r>
          <rPr>
            <b/>
            <sz val="9"/>
            <rFont val="Tahoma"/>
            <family val="2"/>
          </rPr>
          <t>SAVAS:</t>
        </r>
        <r>
          <rPr>
            <sz val="9"/>
            <rFont val="Tahoma"/>
            <family val="2"/>
          </rPr>
          <t xml:space="preserve">
Ezen a rovaton kell elszámolni a nem számítógépek között megvalósuló, nem adatátviteli célú távközlési– így különösen telefon, telefax, telex, mobil – díjakat, mobil telefonokhoz vásárolt kártyák vételárát, továbbá a műsorvételi, műsorközlési jogdíjak kiadásait.</t>
        </r>
      </text>
    </comment>
    <comment ref="B42" authorId="0">
      <text>
        <r>
          <rPr>
            <b/>
            <sz val="9"/>
            <rFont val="Tahoma"/>
            <family val="2"/>
          </rPr>
          <t>SAVAS:</t>
        </r>
        <r>
          <rPr>
            <sz val="9"/>
            <rFont val="Tahoma"/>
            <family val="2"/>
          </rPr>
          <t xml:space="preserve">
Ezen a rovaton kell elszámolni
a) azokat az egyébként jellemzően az államháztartás által kibocsátott komplex szolgáltatások – így különösen egészségügyi, oktatási (az informatikai oktatás kivételével), szociális, útüzemeltetési, környezetvédelmi szolgáltatások – vételárát, amelyeket államháztartáson kívüli szervezetek, személyek teljesítenek, és
b) más szellemi jellegű tevékenység szolgáltatásvásárlással történő ellátása miatt fizetett vételárakat, így különösen a tervezői, tanácsadói, ügyvédi, jogi segítői, fordító-, közjegyzői, közbeszerzési irodai díjakat.</t>
        </r>
      </text>
    </comment>
    <comment ref="B43" authorId="0">
      <text>
        <r>
          <rPr>
            <b/>
            <sz val="9"/>
            <rFont val="Tahoma"/>
            <family val="2"/>
          </rPr>
          <t>SAVAS:</t>
        </r>
        <r>
          <rPr>
            <sz val="9"/>
            <rFont val="Tahoma"/>
            <family val="2"/>
          </rPr>
          <t xml:space="preserve">
Ezen a rovaton kell elszámolni a más rovaton nem szerepeltethető szolgáltatások vételárát, így különösen a raktározás, csomagolás, postai és távközlési szolgáltatás, szállítás, bizományi tevékenység, takarítás, mosás és vegytisztítás, kéményseprés, rovarirtás vételárát, a pénzügyi, befektetési, biztosítóintézeti szolgáltatásokkal összefüggésben felmerülő díjakat, jutalékokat,közigazgatási kötelező továbbképzési díjak és más kiadásokat – ideértve a Kincstár által felszámított díjakat is –, ha azokat nem a személyi juttatások között kell megjeleníteni.
 A rovaton elszámolt kiadásokat a beszámolóban a következő bontásban kell szerepeltetni:
a) ebből: biztosítási díjak.</t>
        </r>
      </text>
    </comment>
    <comment ref="B52" authorId="0">
      <text>
        <r>
          <rPr>
            <b/>
            <sz val="9"/>
            <rFont val="Tahoma"/>
            <family val="2"/>
          </rPr>
          <t>SAVAS:</t>
        </r>
        <r>
          <rPr>
            <sz val="9"/>
            <rFont val="Tahoma"/>
            <family val="2"/>
          </rPr>
          <t xml:space="preserve">
Ezen a rovaton kell elszámolni
a) a behajthatatlan adott előlegeket,
b) a működési bevételek között elszámolt bevételek bármely okból, a bevétel elszámolását követő években történő visszafizetését,
c) az 1 és 2 forintos érmék forgalomból történő kivonása miatti kerekítési különbözetet, ha a készpénzes kiadások teljesítésekor, bevételek beszedéskor nem határozható meg egyértelműen, hogy az mely rovathoz kapcsolódik, mivel a készpénzmozgás egynél több kiadási, illetve bevételi rovatot érintett,
d) a tevékenység ellátással kapcsolatban felmerülő adó-, vám-, illeték és más adójellegű befizetések, hozzájárulások teljesítését, ha azokat nem más rovaton kell elszámolni,
e) a tevékenység ellátással kapcsolatban felmerülő kötelező jellegű díjakat, így különösen a díjköteles utak használata ellenében fizetett használati díjat, pótdíjat, elektronikus útdíjat, a járművek műszaki vizsgáztatásának díját, a zöldkártya hatósági díját, a közbeszerzési díjat, a közbeszerzésről szóló törvényben előírt ajánlati biztosítékot, és
f) a más rovaton nem szerepeltethető dologi jellegű kiadásokat, így különösen a szerződésben vállalt kötelezettségek elmulasztásához (kötbér, késedelmi kamat) kapcsolódó kiadásokat, az adóhatóság által kiszabott szankciókat, a fizetett késedelmi és önellenőrzési pótlékokat, bírságokat, a perköltséget, a követelések vásárlására fordított kiadásokat, az OEP felé megtérített kiadásokat.</t>
        </r>
      </text>
    </comment>
  </commentList>
</comments>
</file>

<file path=xl/sharedStrings.xml><?xml version="1.0" encoding="utf-8"?>
<sst xmlns="http://schemas.openxmlformats.org/spreadsheetml/2006/main" count="3139" uniqueCount="1554">
  <si>
    <t>Egyéb szolgáltatások</t>
  </si>
  <si>
    <t>K110711</t>
  </si>
  <si>
    <t>Főkönyvi szám neve</t>
  </si>
  <si>
    <t>0941142</t>
  </si>
  <si>
    <t>0981311</t>
  </si>
  <si>
    <t>05110711</t>
  </si>
  <si>
    <t>05211</t>
  </si>
  <si>
    <t>Szociális hozzájárulási adó</t>
  </si>
  <si>
    <t>05241</t>
  </si>
  <si>
    <t>Egészségügyi hozzájárulás</t>
  </si>
  <si>
    <t>05271</t>
  </si>
  <si>
    <t>Személyi jövedelemadó</t>
  </si>
  <si>
    <t>05312211</t>
  </si>
  <si>
    <t>05312611</t>
  </si>
  <si>
    <t>053211</t>
  </si>
  <si>
    <t>05321111</t>
  </si>
  <si>
    <t>Egyéb kommunikációs szolgáltatások</t>
  </si>
  <si>
    <t>05333111</t>
  </si>
  <si>
    <t>0533411</t>
  </si>
  <si>
    <t>0533511</t>
  </si>
  <si>
    <t>Közvetített szolgáltatások  ÁH belül</t>
  </si>
  <si>
    <t>05336111</t>
  </si>
  <si>
    <t>05336221</t>
  </si>
  <si>
    <t>05337311</t>
  </si>
  <si>
    <t>05337411</t>
  </si>
  <si>
    <t>05337911</t>
  </si>
  <si>
    <t>Belföldi kiküldetés</t>
  </si>
  <si>
    <t>05341121</t>
  </si>
  <si>
    <t>053511</t>
  </si>
  <si>
    <t>05502111</t>
  </si>
  <si>
    <t>Egyéb tárgyi eszközök beszerzése, létesítése</t>
  </si>
  <si>
    <t>05671</t>
  </si>
  <si>
    <t>05711</t>
  </si>
  <si>
    <t>Gazdasági vezető</t>
  </si>
  <si>
    <t>KÖLTSÉGVETÉSI KIADÁSOK ÖSSZESEN</t>
  </si>
  <si>
    <t>FELHALMOZÁSI KIADÁSOK</t>
  </si>
  <si>
    <t>Normatív támogatás</t>
  </si>
  <si>
    <t>09121</t>
  </si>
  <si>
    <t>Elvonások és Befizetési Bevételek</t>
  </si>
  <si>
    <t>Előző évi Elvonások és befizetések bevételei</t>
  </si>
  <si>
    <t>091211</t>
  </si>
  <si>
    <t>Tárgy évi elvonások és befizetések  (technikai)</t>
  </si>
  <si>
    <t>Működési célú visszatérítendő támogatások, kölcsönök visszatérülése Áht belülről</t>
  </si>
  <si>
    <t>09140911</t>
  </si>
  <si>
    <t xml:space="preserve">Működési célú visszatérítendő támogatások - </t>
  </si>
  <si>
    <t>09140912</t>
  </si>
  <si>
    <t>09140913</t>
  </si>
  <si>
    <t>Működési célú visszatérítendő támogatások, kölcsönök igénybevétele áht belülről</t>
  </si>
  <si>
    <t>09150911</t>
  </si>
  <si>
    <t xml:space="preserve">Kapott visszatérítendő támogatás - </t>
  </si>
  <si>
    <t>09150912</t>
  </si>
  <si>
    <t>09150913</t>
  </si>
  <si>
    <t>Költségvetési támogatási bevételelk</t>
  </si>
  <si>
    <t>09160911</t>
  </si>
  <si>
    <t>Önkormányzat és Média támogatása</t>
  </si>
  <si>
    <t>09160931</t>
  </si>
  <si>
    <t>Intézmények támogatása-Hivatal</t>
  </si>
  <si>
    <t>09160921</t>
  </si>
  <si>
    <t xml:space="preserve">Intézmények támogatás - 12. Évfolyamos </t>
  </si>
  <si>
    <t>09160941</t>
  </si>
  <si>
    <t>Intézmények támogatás - Nikosz Beloiannisz Általámos Iskola és Óvoda</t>
  </si>
  <si>
    <t>09160951</t>
  </si>
  <si>
    <t>09160961</t>
  </si>
  <si>
    <t>Költségvetési támog. - Nikosz Beloiannisz Művelődési Központ és Könyvtár</t>
  </si>
  <si>
    <t>Költségvetési támog. - Görög Nemzetiségi Színház</t>
  </si>
  <si>
    <t>Költségvetési támog. - Görög Nemzetiségi Általános Iskola és Gimnázium</t>
  </si>
  <si>
    <t>Egyéb működési célú támogatások bevételei áht belülről - rendezvények</t>
  </si>
  <si>
    <t>091611</t>
  </si>
  <si>
    <t xml:space="preserve">Kapott támogatás rendezvényekre - </t>
  </si>
  <si>
    <t>091612</t>
  </si>
  <si>
    <t>091613</t>
  </si>
  <si>
    <t>091614</t>
  </si>
  <si>
    <t>091615</t>
  </si>
  <si>
    <t>091616</t>
  </si>
  <si>
    <t>091617</t>
  </si>
  <si>
    <t>091618</t>
  </si>
  <si>
    <t>091619</t>
  </si>
  <si>
    <t>091620</t>
  </si>
  <si>
    <t>091621</t>
  </si>
  <si>
    <t>091622</t>
  </si>
  <si>
    <t>091623</t>
  </si>
  <si>
    <t>091624</t>
  </si>
  <si>
    <t>091625</t>
  </si>
  <si>
    <t>091626</t>
  </si>
  <si>
    <t>091627</t>
  </si>
  <si>
    <t>Egyéb működési célú támogatások bevételei ÁHT belülről - pályázatok</t>
  </si>
  <si>
    <t>091610111</t>
  </si>
  <si>
    <t>EMMI támogatás - Athén találk</t>
  </si>
  <si>
    <t>091610112</t>
  </si>
  <si>
    <t>EMMI támogatás - Emlék tura</t>
  </si>
  <si>
    <t>091610113</t>
  </si>
  <si>
    <t>EMMI támogatás - Évzáró ünnepség</t>
  </si>
  <si>
    <t>091610114</t>
  </si>
  <si>
    <t>EMMI támogatás - Húsvét</t>
  </si>
  <si>
    <t>091610115</t>
  </si>
  <si>
    <t>EMMI támogatás - OXI</t>
  </si>
  <si>
    <t>091610116</t>
  </si>
  <si>
    <t>EMMI támogatás - Tábor</t>
  </si>
  <si>
    <t>091610117</t>
  </si>
  <si>
    <t>EMMI támogatás - Március 25</t>
  </si>
  <si>
    <t>091610118</t>
  </si>
  <si>
    <t>EMMI támogatás - Vízkereszt</t>
  </si>
  <si>
    <t>091610119</t>
  </si>
  <si>
    <t>EMMI támogatás - Emléktúra</t>
  </si>
  <si>
    <t>Egyéb felhalmozási célú támogatások bevételei államháztartáson belülről</t>
  </si>
  <si>
    <t>09250911</t>
  </si>
  <si>
    <t xml:space="preserve">Felhalmozási támogatások - </t>
  </si>
  <si>
    <t>09250912</t>
  </si>
  <si>
    <t>09250913</t>
  </si>
  <si>
    <t>09402111</t>
  </si>
  <si>
    <t>Bérleti dijak Bevételei</t>
  </si>
  <si>
    <t>Közvetített szolgáltatások ellenértéke</t>
  </si>
  <si>
    <t>0940311</t>
  </si>
  <si>
    <t xml:space="preserve">Közvetített szolgáltatások ellenértéke - áht belül </t>
  </si>
  <si>
    <t>0940321</t>
  </si>
  <si>
    <t>094051</t>
  </si>
  <si>
    <t xml:space="preserve">Ellátási díjak </t>
  </si>
  <si>
    <t>094061</t>
  </si>
  <si>
    <t xml:space="preserve">Kiszámlázott általános forgalmi adó </t>
  </si>
  <si>
    <t>0940821</t>
  </si>
  <si>
    <t xml:space="preserve">Egyéb kapott (járó) kamatok és kamatjellegű bevételek </t>
  </si>
  <si>
    <t>094092151</t>
  </si>
  <si>
    <t>Más egyéb pénzügyi műveletek bevételei - valuta és deviza eszközök realizált árfolyamnyeresége</t>
  </si>
  <si>
    <t>1 és 2 forintos érmék forgalomból történő kivonása miatti kerekítési különbözet  (technikai)</t>
  </si>
  <si>
    <t>Költségek visszatérítési bevételei</t>
  </si>
  <si>
    <t>0941151111</t>
  </si>
  <si>
    <t>0941151121</t>
  </si>
  <si>
    <t>09531</t>
  </si>
  <si>
    <t xml:space="preserve">Egyéb tárgyi eszközök értékesítése </t>
  </si>
  <si>
    <t>0965081</t>
  </si>
  <si>
    <t>Egyéb működési célú átvett pénzeszközök-egyéb vállalkozások</t>
  </si>
  <si>
    <t>09651</t>
  </si>
  <si>
    <t xml:space="preserve">Egyéb működési célú átvett pénzeszközök  </t>
  </si>
  <si>
    <t>097511</t>
  </si>
  <si>
    <t>Egyéb felhalm. célú átvett p.eszk.-pénzmaradv.átvétele</t>
  </si>
  <si>
    <t xml:space="preserve">Előző év költségvetési maradványának igénybevétele </t>
  </si>
  <si>
    <t>Törvény szerinti alapilletmény</t>
  </si>
  <si>
    <t>05110111</t>
  </si>
  <si>
    <t xml:space="preserve">Köztisztviselők,közalkalmazottak bére </t>
  </si>
  <si>
    <t>0511011131</t>
  </si>
  <si>
    <t>0511011141</t>
  </si>
  <si>
    <t xml:space="preserve">közalkalmazottak vezetői pótlék </t>
  </si>
  <si>
    <t>0511011151</t>
  </si>
  <si>
    <t xml:space="preserve">Béren kívüli juttatások </t>
  </si>
  <si>
    <t xml:space="preserve">Erzsébet utalvány  </t>
  </si>
  <si>
    <t>05110721</t>
  </si>
  <si>
    <t xml:space="preserve">SZÉP kártya - vendéglátás </t>
  </si>
  <si>
    <t>05110751</t>
  </si>
  <si>
    <t xml:space="preserve">Helyi utazási bérlet  </t>
  </si>
  <si>
    <t>05110761</t>
  </si>
  <si>
    <t>Iskola kezdési támogatás</t>
  </si>
  <si>
    <t xml:space="preserve">Közlekedési költségtérítés </t>
  </si>
  <si>
    <t>05110911</t>
  </si>
  <si>
    <t xml:space="preserve">munkába járás - szgk ktgtérítés </t>
  </si>
  <si>
    <t>05110921</t>
  </si>
  <si>
    <t>05110922</t>
  </si>
  <si>
    <t>egyéb költségtérítések</t>
  </si>
  <si>
    <t xml:space="preserve">Foglalkoztatottak egyéb személyi juttatásai </t>
  </si>
  <si>
    <t>051113221</t>
  </si>
  <si>
    <t>051113231</t>
  </si>
  <si>
    <t xml:space="preserve">Foglalk. egyéb személyi juttat.Szabi megvált </t>
  </si>
  <si>
    <t>Külsős személy juttatásai</t>
  </si>
  <si>
    <t xml:space="preserve">Választott tisztségviselők juttatásai </t>
  </si>
  <si>
    <t xml:space="preserve">Munkavégzésre irányuló egyéb jogviszony </t>
  </si>
  <si>
    <t>0512211</t>
  </si>
  <si>
    <t>05122111</t>
  </si>
  <si>
    <t xml:space="preserve">Munkavégzésre irányuló egyéb jogviszonyban óraadó  </t>
  </si>
  <si>
    <t>05122121</t>
  </si>
  <si>
    <t xml:space="preserve">Munkavégzésre irányuló egyéb jogviszonyban megbiz </t>
  </si>
  <si>
    <t>0512221</t>
  </si>
  <si>
    <t xml:space="preserve">Munkavégzésre irányuló egyéb jogviszony felnöttoktatás </t>
  </si>
  <si>
    <t>0512231</t>
  </si>
  <si>
    <t>0512361</t>
  </si>
  <si>
    <t xml:space="preserve">Reprezentáció, üzleti ajándék </t>
  </si>
  <si>
    <t>0512371</t>
  </si>
  <si>
    <t xml:space="preserve">Egyéb külső személyi  juttatások </t>
  </si>
  <si>
    <t>05251</t>
  </si>
  <si>
    <t>Táppénz hozzájárulás</t>
  </si>
  <si>
    <t>BÉR ÖSSZESEN</t>
  </si>
  <si>
    <t>Szakmai anyagok</t>
  </si>
  <si>
    <t>0531111</t>
  </si>
  <si>
    <t>Gyögyszer beszerzés</t>
  </si>
  <si>
    <t>05311211</t>
  </si>
  <si>
    <t>Könyvek, folyóirat és előfizetés beszerzés</t>
  </si>
  <si>
    <t>0531131</t>
  </si>
  <si>
    <t>Elektronikus könyvek, szellemi terméke beszerzés</t>
  </si>
  <si>
    <t>05311411</t>
  </si>
  <si>
    <t xml:space="preserve">Készletre vett eszközök beszerzés </t>
  </si>
  <si>
    <t>Üzemeltetési anyagok</t>
  </si>
  <si>
    <t>0531211</t>
  </si>
  <si>
    <t>Élelmiszer beszerzés</t>
  </si>
  <si>
    <t xml:space="preserve">Irodaszer beszerzés </t>
  </si>
  <si>
    <t>0531251</t>
  </si>
  <si>
    <t xml:space="preserve">Nyomtatást segítő anyagok </t>
  </si>
  <si>
    <t>Tisztitószer, Vegyszer beszerzés</t>
  </si>
  <si>
    <t>05312621</t>
  </si>
  <si>
    <t>Egyéb anyag beszerzés</t>
  </si>
  <si>
    <t>Kommunikációs szolgáltatások</t>
  </si>
  <si>
    <t xml:space="preserve">Informatikai szolgáltatások igénybevétele </t>
  </si>
  <si>
    <t>0532111</t>
  </si>
  <si>
    <t>Számítógépes rendszer kiépítése, üzemeltetése, karbantartása</t>
  </si>
  <si>
    <t>0532112</t>
  </si>
  <si>
    <t>Szoftverek kölcsönzésének, bérletének, jógtiszta licens biztosítása</t>
  </si>
  <si>
    <t>0532113</t>
  </si>
  <si>
    <t>Internetes portálok - veboldalok tervezésére, működtetésére</t>
  </si>
  <si>
    <t>0532114</t>
  </si>
  <si>
    <t xml:space="preserve">Internet költsége </t>
  </si>
  <si>
    <t>05322111</t>
  </si>
  <si>
    <t xml:space="preserve">Telefon ktg-ei </t>
  </si>
  <si>
    <t>Közüzemi díak</t>
  </si>
  <si>
    <t>05331111</t>
  </si>
  <si>
    <t xml:space="preserve">Villamosenergia-szolgáltatási dijak </t>
  </si>
  <si>
    <t>05331211</t>
  </si>
  <si>
    <t xml:space="preserve">Gázdíj  </t>
  </si>
  <si>
    <t>05331311</t>
  </si>
  <si>
    <t xml:space="preserve">Víz- és csatornadíjak </t>
  </si>
  <si>
    <t xml:space="preserve">Vásárolt élelmezés </t>
  </si>
  <si>
    <t xml:space="preserve">Bérleti és lízingdíjak költsége </t>
  </si>
  <si>
    <t>05333121</t>
  </si>
  <si>
    <t xml:space="preserve">Helységek Bérleti és lízingdíjak költsége </t>
  </si>
  <si>
    <t>0533421</t>
  </si>
  <si>
    <t xml:space="preserve">Karbantartási, javítási kiadások </t>
  </si>
  <si>
    <t>Épületek karbantartása, javítása</t>
  </si>
  <si>
    <t>Gépek,berendezések karbantartása, javítása</t>
  </si>
  <si>
    <t>Közvetített szolgáltatások</t>
  </si>
  <si>
    <t>0533521</t>
  </si>
  <si>
    <t xml:space="preserve">Közvetített szolgáltatások ÁH kívül  </t>
  </si>
  <si>
    <t xml:space="preserve">Szakmai tevékenységet segítő szolgáltatások </t>
  </si>
  <si>
    <t>Szakmai szolgáltatások igénybevétele</t>
  </si>
  <si>
    <t>Szakmai szolgáltatás - Zeneoktatás</t>
  </si>
  <si>
    <t>05336121</t>
  </si>
  <si>
    <t xml:space="preserve">Szakmai szolgáltatás-Ügyvédi díj </t>
  </si>
  <si>
    <t>05336131</t>
  </si>
  <si>
    <t>05336141</t>
  </si>
  <si>
    <t>05336151</t>
  </si>
  <si>
    <t>05336161</t>
  </si>
  <si>
    <t>05336211</t>
  </si>
  <si>
    <t>05336231</t>
  </si>
  <si>
    <t>053362311</t>
  </si>
  <si>
    <t>053362312</t>
  </si>
  <si>
    <t>053362313</t>
  </si>
  <si>
    <t>053362314</t>
  </si>
  <si>
    <t>053362315</t>
  </si>
  <si>
    <t>053362316</t>
  </si>
  <si>
    <t>053362317</t>
  </si>
  <si>
    <t>053362318</t>
  </si>
  <si>
    <t>05337111</t>
  </si>
  <si>
    <t xml:space="preserve">Posta ktg. </t>
  </si>
  <si>
    <t>053371131</t>
  </si>
  <si>
    <t xml:space="preserve">parkolás </t>
  </si>
  <si>
    <t>053371141</t>
  </si>
  <si>
    <t xml:space="preserve">Tagdíjak </t>
  </si>
  <si>
    <t>05337121</t>
  </si>
  <si>
    <t xml:space="preserve">újság Postaköltség </t>
  </si>
  <si>
    <t xml:space="preserve">Bankköltség </t>
  </si>
  <si>
    <t xml:space="preserve">Szállítás szolgáltatás </t>
  </si>
  <si>
    <t>Személy szállítás szolgáltatás</t>
  </si>
  <si>
    <t>05337421</t>
  </si>
  <si>
    <t xml:space="preserve">Szemét szállítás </t>
  </si>
  <si>
    <t>05337611</t>
  </si>
  <si>
    <t>kéményseprés</t>
  </si>
  <si>
    <t xml:space="preserve">Más egyéb szolgáltatások - </t>
  </si>
  <si>
    <t>053379111</t>
  </si>
  <si>
    <t>053379121</t>
  </si>
  <si>
    <t>Más egyéb szolgáltatások - Társasházi közös költség</t>
  </si>
  <si>
    <t>053379141</t>
  </si>
  <si>
    <t>053379151</t>
  </si>
  <si>
    <t>053379171</t>
  </si>
  <si>
    <t>053379181</t>
  </si>
  <si>
    <t>053379191</t>
  </si>
  <si>
    <t>Kiküldetési és Propaganda kiadások</t>
  </si>
  <si>
    <t>05341111</t>
  </si>
  <si>
    <t xml:space="preserve">Külföldi kiküldetés </t>
  </si>
  <si>
    <t>05342211</t>
  </si>
  <si>
    <t>0534231</t>
  </si>
  <si>
    <t>Üzleti vendéglátás kiadási (nem bér jellegű)</t>
  </si>
  <si>
    <t xml:space="preserve">Egyéb dologi kiadások </t>
  </si>
  <si>
    <t xml:space="preserve">Működési célú előzetesen felszámított általános forgalmi adó </t>
  </si>
  <si>
    <t>0535321</t>
  </si>
  <si>
    <t xml:space="preserve">ÁH-n kívüli NEM fedezeti ügyletek kamatkiadásai </t>
  </si>
  <si>
    <t>0535411</t>
  </si>
  <si>
    <t>Valuta, deviza eszközök realizált árfolyamvesztesége</t>
  </si>
  <si>
    <t>053551</t>
  </si>
  <si>
    <t>05355111</t>
  </si>
  <si>
    <t>Behajthatatlan követelések</t>
  </si>
  <si>
    <t>05355121</t>
  </si>
  <si>
    <t>Elszámolt bevételek visszafizetése</t>
  </si>
  <si>
    <t>05355131</t>
  </si>
  <si>
    <t>Kerekítési különbőzetek</t>
  </si>
  <si>
    <t>05355141</t>
  </si>
  <si>
    <t>Illetékek és adó jellegű kiadások</t>
  </si>
  <si>
    <t>05355151</t>
  </si>
  <si>
    <t>Kötelező jellegű díjak közbeszezési, biztosítékok</t>
  </si>
  <si>
    <t>05355161</t>
  </si>
  <si>
    <t>Késedelmi kamat, bírság, kötbér</t>
  </si>
  <si>
    <t>05355171</t>
  </si>
  <si>
    <t>Önrevizió, kisedelmi pótlék</t>
  </si>
  <si>
    <t>05355181</t>
  </si>
  <si>
    <t>05355191</t>
  </si>
  <si>
    <t>Egyéb működési kiadások</t>
  </si>
  <si>
    <t xml:space="preserve">Intézményi ellátottak pénzbeli juttatásai </t>
  </si>
  <si>
    <t>Elvonások és Befizetések</t>
  </si>
  <si>
    <t xml:space="preserve">Előző évi elszámolásából származó elvonások  </t>
  </si>
  <si>
    <t>05502311</t>
  </si>
  <si>
    <t xml:space="preserve">Tárgy évi egyéb elvonások, befizetések  </t>
  </si>
  <si>
    <t>Működési célú visszatérítendő támogatások, kölcsönök államháztartáson belülre</t>
  </si>
  <si>
    <t>055041</t>
  </si>
  <si>
    <t>Működési célú visszatérítendő támogatások, kölcsönök nyújtása államháztartáson belülre</t>
  </si>
  <si>
    <t>055051</t>
  </si>
  <si>
    <t>Működési célú visszatérítendő támogatások, kölcsönök törlesztése államháztartáson belülre</t>
  </si>
  <si>
    <t>Egyéb működési célú támogatások</t>
  </si>
  <si>
    <t>055061</t>
  </si>
  <si>
    <t>055081</t>
  </si>
  <si>
    <t>Egyéb működési célú támogatások államháztartáson kívülre-egyéb civil szervezetek,</t>
  </si>
  <si>
    <t>MŰKŐDÉSI DOLOGI KIADÁSOK</t>
  </si>
  <si>
    <t>Beruházási kiadások</t>
  </si>
  <si>
    <t>0561121</t>
  </si>
  <si>
    <t xml:space="preserve">Szellemi termékek vásárlása </t>
  </si>
  <si>
    <t>05631</t>
  </si>
  <si>
    <t>Informatikai eszközök beszerzése, létesítése</t>
  </si>
  <si>
    <t>05641</t>
  </si>
  <si>
    <t xml:space="preserve">Beruházási célú előzetesen felszámított általános forgalmi adó </t>
  </si>
  <si>
    <t>Felújítási kiadások</t>
  </si>
  <si>
    <t>05741</t>
  </si>
  <si>
    <t xml:space="preserve">Felújítási célú előzetesen felszámított általános forgalmi adó </t>
  </si>
  <si>
    <t>FINANSZÍROZÁSI KIADÁSOK</t>
  </si>
  <si>
    <t>05915111</t>
  </si>
  <si>
    <t xml:space="preserve">Központi, irányító szervi támog. folyósít.-ÁMK </t>
  </si>
  <si>
    <t>05915121</t>
  </si>
  <si>
    <t>Központi, irányító szervi támog. folyósít.-ISK</t>
  </si>
  <si>
    <t>05915131</t>
  </si>
  <si>
    <t xml:space="preserve">Központi, irányító szervi támog. folyósít.-KUT </t>
  </si>
  <si>
    <t>05915141</t>
  </si>
  <si>
    <t xml:space="preserve">Központi, irányító szervi támog. folyósít.-HIV </t>
  </si>
  <si>
    <t>05915151</t>
  </si>
  <si>
    <t xml:space="preserve">Központi, irányító szervi támog. folyósít.KULT </t>
  </si>
  <si>
    <t>05915171</t>
  </si>
  <si>
    <t>05915181</t>
  </si>
  <si>
    <t>05915191</t>
  </si>
  <si>
    <t>Manolisz Glezosz 12 Évfolyamos Kiegészítő Görög Nyelvoktató Iskola</t>
  </si>
  <si>
    <t>Összesen</t>
  </si>
  <si>
    <t>1.</t>
  </si>
  <si>
    <t>2.</t>
  </si>
  <si>
    <t>3.</t>
  </si>
  <si>
    <t>4.</t>
  </si>
  <si>
    <t>5.</t>
  </si>
  <si>
    <t>6.</t>
  </si>
  <si>
    <t>7.</t>
  </si>
  <si>
    <t>8.</t>
  </si>
  <si>
    <t>9.</t>
  </si>
  <si>
    <t>10.</t>
  </si>
  <si>
    <t>11.</t>
  </si>
  <si>
    <t>12.</t>
  </si>
  <si>
    <t>13.</t>
  </si>
  <si>
    <t>ÁMK</t>
  </si>
  <si>
    <t>Színház</t>
  </si>
  <si>
    <t>Hivatal</t>
  </si>
  <si>
    <t>K1221</t>
  </si>
  <si>
    <t>Média</t>
  </si>
  <si>
    <t>Országos Önkormányzat és Média támogatás</t>
  </si>
  <si>
    <t>Támogatás összesen</t>
  </si>
  <si>
    <t xml:space="preserve">közalkalmazottak Nyelvi.pótlék </t>
  </si>
  <si>
    <t xml:space="preserve">Munkavégzésre irányuló egyéb jogviszony egyéb </t>
  </si>
  <si>
    <t xml:space="preserve">Eszközök Bérleti és lízingdíjak költsége </t>
  </si>
  <si>
    <t xml:space="preserve">Szakmai szolgáltatások-Könyvvizsgálói díj </t>
  </si>
  <si>
    <t>Szakmai szolgáltatások-Belső ellenőri díj</t>
  </si>
  <si>
    <t>Más egyéb szolgáltatások - Biztosítások</t>
  </si>
  <si>
    <t>Más egyéb szolgáltatások - megbízások</t>
  </si>
  <si>
    <t>Propagandakiadások-újság és könyv kiadásai</t>
  </si>
  <si>
    <t>Egyéb működési célú támogatások államháztartáson belülre - Intézmények</t>
  </si>
  <si>
    <t>Ingatlanok felújítása</t>
  </si>
  <si>
    <t>K1-K8. Költségvetési kiadások</t>
  </si>
  <si>
    <t>forintban</t>
  </si>
  <si>
    <t>Sor-
szám</t>
  </si>
  <si>
    <t>Rovat megnevezése</t>
  </si>
  <si>
    <t>Rovat
száma</t>
  </si>
  <si>
    <t>Előirányzat</t>
  </si>
  <si>
    <t>01</t>
  </si>
  <si>
    <t>Törvény szerinti illetmények, munkabérek</t>
  </si>
  <si>
    <t>K1101</t>
  </si>
  <si>
    <t>02</t>
  </si>
  <si>
    <t>Normatív jutalmak</t>
  </si>
  <si>
    <t>K1102</t>
  </si>
  <si>
    <t>03</t>
  </si>
  <si>
    <t>Céljuttatás, projektprémium</t>
  </si>
  <si>
    <t>K1103</t>
  </si>
  <si>
    <t>04</t>
  </si>
  <si>
    <t>Készenléti, ügyeleti, helyettesítési díj, túlóra, túlszolgálat</t>
  </si>
  <si>
    <t>K1104</t>
  </si>
  <si>
    <t>05</t>
  </si>
  <si>
    <t>Végkielégítés</t>
  </si>
  <si>
    <t>K1105</t>
  </si>
  <si>
    <t>06</t>
  </si>
  <si>
    <t>Jubileumi jutalom</t>
  </si>
  <si>
    <t>K1106</t>
  </si>
  <si>
    <t>07</t>
  </si>
  <si>
    <t>Béren kívüli juttatások</t>
  </si>
  <si>
    <t>K1107</t>
  </si>
  <si>
    <t>08</t>
  </si>
  <si>
    <t>Ruházati költségtérítés</t>
  </si>
  <si>
    <t>K1108</t>
  </si>
  <si>
    <t>09</t>
  </si>
  <si>
    <t>Közlekedési költségtérítés</t>
  </si>
  <si>
    <t>K1109</t>
  </si>
  <si>
    <t>10</t>
  </si>
  <si>
    <t>Egyéb költségtérítések</t>
  </si>
  <si>
    <t>K1110</t>
  </si>
  <si>
    <t>11</t>
  </si>
  <si>
    <t>Lakhatási támogatások</t>
  </si>
  <si>
    <t>K1111</t>
  </si>
  <si>
    <t>12</t>
  </si>
  <si>
    <t>Szociális támogatások</t>
  </si>
  <si>
    <t>K1112</t>
  </si>
  <si>
    <t>13</t>
  </si>
  <si>
    <t>Foglalkoztatottak egyéb személyi juttatásai</t>
  </si>
  <si>
    <t>K1113</t>
  </si>
  <si>
    <t>14</t>
  </si>
  <si>
    <t>Foglalkoztatottak személyi juttatásai (=01+…+13)</t>
  </si>
  <si>
    <t>K11</t>
  </si>
  <si>
    <t>15</t>
  </si>
  <si>
    <t>Választott tisztségviselők juttatásai</t>
  </si>
  <si>
    <t>K121</t>
  </si>
  <si>
    <t>16</t>
  </si>
  <si>
    <t>Munkavégzésre irányuló egyéb jogviszonyban nem saját foglalkoztatottnak fizetett juttatások</t>
  </si>
  <si>
    <t>K122</t>
  </si>
  <si>
    <t>17</t>
  </si>
  <si>
    <t>Egyéb külső személyi juttatások</t>
  </si>
  <si>
    <t>K123</t>
  </si>
  <si>
    <t>18</t>
  </si>
  <si>
    <t>Külső személyi juttatások (=15+16+17)</t>
  </si>
  <si>
    <t>K12</t>
  </si>
  <si>
    <t>19</t>
  </si>
  <si>
    <t>Személyi juttatások (=14+18)</t>
  </si>
  <si>
    <t>K1</t>
  </si>
  <si>
    <t>20</t>
  </si>
  <si>
    <t xml:space="preserve">Munkaadókat terhelő járulékok és szociális hozzájárulási adó                                                                            </t>
  </si>
  <si>
    <t>K2</t>
  </si>
  <si>
    <t>21</t>
  </si>
  <si>
    <t>Szakmai anyagok beszerzése</t>
  </si>
  <si>
    <t>K311</t>
  </si>
  <si>
    <t>22</t>
  </si>
  <si>
    <t>Üzemeltetési anyagok beszerzése</t>
  </si>
  <si>
    <t>K312</t>
  </si>
  <si>
    <t>23</t>
  </si>
  <si>
    <t>Árubeszerzés</t>
  </si>
  <si>
    <t>K313</t>
  </si>
  <si>
    <t>24</t>
  </si>
  <si>
    <t>Készletbeszerzés (=21+22+23)</t>
  </si>
  <si>
    <t>K31</t>
  </si>
  <si>
    <t>25</t>
  </si>
  <si>
    <t>Informatikai szolgáltatások igénybevétele</t>
  </si>
  <si>
    <t>K321</t>
  </si>
  <si>
    <t>26</t>
  </si>
  <si>
    <t>K322</t>
  </si>
  <si>
    <t>27</t>
  </si>
  <si>
    <t>Kommunikációs szolgáltatások (=25+26)</t>
  </si>
  <si>
    <t>K32</t>
  </si>
  <si>
    <t>28</t>
  </si>
  <si>
    <t>Közüzemi díjak</t>
  </si>
  <si>
    <t>K331</t>
  </si>
  <si>
    <t>29</t>
  </si>
  <si>
    <t>Vásárolt élelmezés</t>
  </si>
  <si>
    <t>K332</t>
  </si>
  <si>
    <t>30</t>
  </si>
  <si>
    <t>Bérleti és lízing díjak</t>
  </si>
  <si>
    <t>K333</t>
  </si>
  <si>
    <t>31</t>
  </si>
  <si>
    <t>Karbantartási, kisjavítási szolgáltatások</t>
  </si>
  <si>
    <t>K334</t>
  </si>
  <si>
    <t>32</t>
  </si>
  <si>
    <t>K335</t>
  </si>
  <si>
    <t>33</t>
  </si>
  <si>
    <t>K336</t>
  </si>
  <si>
    <t>34</t>
  </si>
  <si>
    <t>K337</t>
  </si>
  <si>
    <t>35</t>
  </si>
  <si>
    <t>Szolgáltatási kiadások (=28+…+34)</t>
  </si>
  <si>
    <t>K33</t>
  </si>
  <si>
    <t>36</t>
  </si>
  <si>
    <t>Kiküldetések kiadásai</t>
  </si>
  <si>
    <t>K341</t>
  </si>
  <si>
    <t>37</t>
  </si>
  <si>
    <t>Reklám- és propagandakiadások</t>
  </si>
  <si>
    <t>K342</t>
  </si>
  <si>
    <t>38</t>
  </si>
  <si>
    <t>Kiküldetések, reklám- és propagandakiadások (=36+37)</t>
  </si>
  <si>
    <t>K34</t>
  </si>
  <si>
    <t>39</t>
  </si>
  <si>
    <t>Működési célú előzetesen felszámított általános forgalmi adó</t>
  </si>
  <si>
    <t>K351</t>
  </si>
  <si>
    <t>40</t>
  </si>
  <si>
    <t xml:space="preserve">Fizetendő általános forgalmi adó </t>
  </si>
  <si>
    <t>K352</t>
  </si>
  <si>
    <t>41</t>
  </si>
  <si>
    <t xml:space="preserve">Kamatkiadások </t>
  </si>
  <si>
    <t>K353</t>
  </si>
  <si>
    <t>42</t>
  </si>
  <si>
    <t>Egyéb pénzügyi műveletek kiadásai</t>
  </si>
  <si>
    <t>K354</t>
  </si>
  <si>
    <t>43</t>
  </si>
  <si>
    <t>Egyéb dologi kiadások</t>
  </si>
  <si>
    <t>K355</t>
  </si>
  <si>
    <t>44</t>
  </si>
  <si>
    <t>Különféle befizetések és egyéb dologi kiadások (=39+…+43)</t>
  </si>
  <si>
    <t>K35</t>
  </si>
  <si>
    <t>45</t>
  </si>
  <si>
    <t>Dologi kiadások (=24+27+35+38+44)</t>
  </si>
  <si>
    <t>K3</t>
  </si>
  <si>
    <t>46</t>
  </si>
  <si>
    <t>Társadalombiztosítási ellátások</t>
  </si>
  <si>
    <t>K41</t>
  </si>
  <si>
    <t>47</t>
  </si>
  <si>
    <t>Családi támogatások</t>
  </si>
  <si>
    <t>K42</t>
  </si>
  <si>
    <t>48</t>
  </si>
  <si>
    <t>Pénzbeli kárpótlások, kártérítések</t>
  </si>
  <si>
    <t>K43</t>
  </si>
  <si>
    <t>49</t>
  </si>
  <si>
    <t>Betegséggel kapcsolatos (nem társadalombiztosítási) ellátások</t>
  </si>
  <si>
    <t>K44</t>
  </si>
  <si>
    <t>50</t>
  </si>
  <si>
    <t>Foglalkoztatással, munkanélküliséggel kapcsolatos ellátások</t>
  </si>
  <si>
    <t>K45</t>
  </si>
  <si>
    <t>51</t>
  </si>
  <si>
    <t>Lakhatással kapcsolatos ellátások</t>
  </si>
  <si>
    <t>K46</t>
  </si>
  <si>
    <t>52</t>
  </si>
  <si>
    <t>Intézményi ellátottak pénzbeli juttatásai</t>
  </si>
  <si>
    <t>K47</t>
  </si>
  <si>
    <t>53</t>
  </si>
  <si>
    <t>Egyéb nem intézményi ellátások</t>
  </si>
  <si>
    <t>K48</t>
  </si>
  <si>
    <t>54</t>
  </si>
  <si>
    <t>Ellátottak pénzbeli juttatásai (=46+...+53)</t>
  </si>
  <si>
    <t>K4</t>
  </si>
  <si>
    <t>55</t>
  </si>
  <si>
    <t>Nemzetközi kötelezettségek</t>
  </si>
  <si>
    <t>K501</t>
  </si>
  <si>
    <t>A helyi önkormányzatok előző évi elszámolásából származó kiadások</t>
  </si>
  <si>
    <t>K5021</t>
  </si>
  <si>
    <t>A helyi önkormányzatok törvényi előíráson alapuló befizetései</t>
  </si>
  <si>
    <t>K5022</t>
  </si>
  <si>
    <t>Egyéb elvonások, befizetések</t>
  </si>
  <si>
    <t>K5023</t>
  </si>
  <si>
    <t>Elvonások és befizetések (=56+57+58)</t>
  </si>
  <si>
    <t>K502</t>
  </si>
  <si>
    <t>Működési célú garancia- és kezességvállalásból származó kifizetés ÁHT belülre</t>
  </si>
  <si>
    <t>K503</t>
  </si>
  <si>
    <t>Működési célú visszatérítendő támogatások, kölcsönök nyújtása ÁHT belülre</t>
  </si>
  <si>
    <t>K504</t>
  </si>
  <si>
    <t>Működési célú visszatérítendő támogatások, kölcsönök törlesztése ÁHT belülre</t>
  </si>
  <si>
    <t>K505</t>
  </si>
  <si>
    <t>Egyéb működési célú támogatások államháztartáson belülre</t>
  </si>
  <si>
    <t>K506</t>
  </si>
  <si>
    <t>Működési célú garancia- és kezességvállalásból származó kifizetés ÁHT kívülre</t>
  </si>
  <si>
    <t>K507</t>
  </si>
  <si>
    <t>Működési célú visszatérítendő támogatások, kölcsönök nyújtása ÁHT kívülre</t>
  </si>
  <si>
    <t>K508</t>
  </si>
  <si>
    <t>Árkiegészítések, ártámogatások</t>
  </si>
  <si>
    <t>K509</t>
  </si>
  <si>
    <t>Kamattámogatások</t>
  </si>
  <si>
    <t>K510</t>
  </si>
  <si>
    <t>Működési célú támogatások az Európai Uniónak</t>
  </si>
  <si>
    <t>K511</t>
  </si>
  <si>
    <t>Egyéb működési célú támogatások államháztartáson kívülre</t>
  </si>
  <si>
    <t>K512</t>
  </si>
  <si>
    <t>Tartalékok</t>
  </si>
  <si>
    <t>K513</t>
  </si>
  <si>
    <t>Egyéb működési célú kiadások (=55+59+…+70)</t>
  </si>
  <si>
    <t>K5</t>
  </si>
  <si>
    <t>Immateriális javak beszerzése, létesítése</t>
  </si>
  <si>
    <t>K61</t>
  </si>
  <si>
    <t>Ingatlanok beszerzése, létesítése</t>
  </si>
  <si>
    <t>K62</t>
  </si>
  <si>
    <t>K63</t>
  </si>
  <si>
    <t>K64</t>
  </si>
  <si>
    <t>Részesedések beszerzése</t>
  </si>
  <si>
    <t>K65</t>
  </si>
  <si>
    <t>Meglévő részesedések növeléséhez kapcsolódó kiadások</t>
  </si>
  <si>
    <t>K66</t>
  </si>
  <si>
    <t>Beruházási célú előzetesen felszámított általános forgalmi adó</t>
  </si>
  <si>
    <t>K67</t>
  </si>
  <si>
    <t>Beruházások (=72+…+78)</t>
  </si>
  <si>
    <t>K6</t>
  </si>
  <si>
    <t>K71</t>
  </si>
  <si>
    <t>Informatikai eszközök felújítása</t>
  </si>
  <si>
    <t>K72</t>
  </si>
  <si>
    <t xml:space="preserve">Egyéb tárgyi eszközök felújítása </t>
  </si>
  <si>
    <t>K73</t>
  </si>
  <si>
    <t>Felújítási célú előzetesen felszámított általános forgalmi adó</t>
  </si>
  <si>
    <t>K74</t>
  </si>
  <si>
    <t>Felújítások (=80+...+83)</t>
  </si>
  <si>
    <t>K7</t>
  </si>
  <si>
    <t>Felhalmozási célú garancia-és kezességvállalásból származó kifizetés ÁHT belülre</t>
  </si>
  <si>
    <t>K81</t>
  </si>
  <si>
    <t>Felhalmozási célú visszatérítendő támogatások, kölcsönök nyújtása ÁHT belülre</t>
  </si>
  <si>
    <t>K82</t>
  </si>
  <si>
    <t>Felhalmozási célú visszatérítendő támogatások, kölcsönök törlesztése ÁHT belülre</t>
  </si>
  <si>
    <t>K83</t>
  </si>
  <si>
    <t>Egyéb felhalmozási célú támogatások államháztartáson belülre</t>
  </si>
  <si>
    <t>K84</t>
  </si>
  <si>
    <t>Felhalmozási célú garancia- és kezességvállalásból származó kifizetés ÁHT kívülre</t>
  </si>
  <si>
    <t>K85</t>
  </si>
  <si>
    <t>Felhalmozási célú visszatérítendő támogatások, kölcsönök nyújtása ÁHT kívülre</t>
  </si>
  <si>
    <t>K86</t>
  </si>
  <si>
    <t>Lakástámogatás</t>
  </si>
  <si>
    <t>K87</t>
  </si>
  <si>
    <t>Felhalmozási célú támogatások az Európai Uniónak</t>
  </si>
  <si>
    <t>K88</t>
  </si>
  <si>
    <t xml:space="preserve">Egyéb felhalmozási célú támogatások államháztartáson kívülre </t>
  </si>
  <si>
    <t>K89</t>
  </si>
  <si>
    <t>Egyéb felhalmozási célú kiadások (=85+…+93)</t>
  </si>
  <si>
    <t>K8</t>
  </si>
  <si>
    <t>Költségvetési kiadások (=19+20+45+54+71+79+84+94)</t>
  </si>
  <si>
    <t>K1-K8</t>
  </si>
  <si>
    <t>B1-B7. Költségvetési bevételek</t>
  </si>
  <si>
    <t>Helyi önkormányzatok működésének általános támogatása</t>
  </si>
  <si>
    <t>B111</t>
  </si>
  <si>
    <t>Települési önkormányzatok egyes köznevelési feladatainak támogatása</t>
  </si>
  <si>
    <t>B112</t>
  </si>
  <si>
    <t>Települési önkormányzatok szociális gyermekjóléti és gyermekétkeztetési feladatainak támogatása</t>
  </si>
  <si>
    <t>B113</t>
  </si>
  <si>
    <t>Települési önkormányzatok kulturális feladatainak támogatása</t>
  </si>
  <si>
    <t>B114</t>
  </si>
  <si>
    <t>Működési célú költségvetési támogatások és kiegészítő támogatások</t>
  </si>
  <si>
    <t>B115</t>
  </si>
  <si>
    <t>Elszámolásból származó bevételek</t>
  </si>
  <si>
    <t>B116</t>
  </si>
  <si>
    <t>Önkormányzatok működési támogatásai (=01+…+06)</t>
  </si>
  <si>
    <t>B11</t>
  </si>
  <si>
    <t>Elvonások és befizetések bevételei</t>
  </si>
  <si>
    <t>B12</t>
  </si>
  <si>
    <t>Működési célú garancia- és kezességvállalásból származó megtérülések ÁHT belülről</t>
  </si>
  <si>
    <t>B13</t>
  </si>
  <si>
    <t>Működési célú visszatérítendő támogatások, kölcsönök visszatérülése ÁHT belülről</t>
  </si>
  <si>
    <t>B14</t>
  </si>
  <si>
    <t>Működési célú visszatérítendő támogatások, kölcsönök igénybevétele ÁHT belülről</t>
  </si>
  <si>
    <t>B15</t>
  </si>
  <si>
    <t>Egyéb működési célú támogatások bevételei államháztartáson belülről</t>
  </si>
  <si>
    <t>B16</t>
  </si>
  <si>
    <t>Működési célú támogatások államháztartáson belülről (=07+…+12)</t>
  </si>
  <si>
    <t>B1</t>
  </si>
  <si>
    <t>Felhalmozási célú önkormányzati támogatások</t>
  </si>
  <si>
    <t>B21</t>
  </si>
  <si>
    <t>Felhalmozási célú garancia- és kezességvállalásból származó megtérülések ÁHT belülről</t>
  </si>
  <si>
    <t>B22</t>
  </si>
  <si>
    <t>Felhalmozási célú visszatérítendő támogatások, kölcsönök visszatérülése ÁHT belülről</t>
  </si>
  <si>
    <t>B23</t>
  </si>
  <si>
    <t>Felhalmozási célú visszatérítendő támogatások, kölcsönök igénybevétele ÁHT belülről</t>
  </si>
  <si>
    <t>B24</t>
  </si>
  <si>
    <t>B25</t>
  </si>
  <si>
    <t>Felhalmozási célú támogatások államháztartáson belülről (=14+…+18)</t>
  </si>
  <si>
    <t>B2</t>
  </si>
  <si>
    <t>Magánszemélyek jövedelemadói</t>
  </si>
  <si>
    <t>B311</t>
  </si>
  <si>
    <t xml:space="preserve">Társaságok jövedelemadói </t>
  </si>
  <si>
    <t>B312</t>
  </si>
  <si>
    <t>Jövedelemadók (=20+21)</t>
  </si>
  <si>
    <t>B31</t>
  </si>
  <si>
    <t>Szociális hozzájárulási adó és járulékok</t>
  </si>
  <si>
    <t>B32</t>
  </si>
  <si>
    <t>Bérhez és foglalkoztatáshoz kapcsolódó adók</t>
  </si>
  <si>
    <t>B33</t>
  </si>
  <si>
    <t xml:space="preserve">Vagyoni tipusú adók </t>
  </si>
  <si>
    <t>B34</t>
  </si>
  <si>
    <t xml:space="preserve">Értékesítési és forgalmi adók </t>
  </si>
  <si>
    <t>B351</t>
  </si>
  <si>
    <t xml:space="preserve">Fogyasztási adók </t>
  </si>
  <si>
    <t>B352</t>
  </si>
  <si>
    <t xml:space="preserve">Pénzügyi monopóliumok nyereségét terhelő adók </t>
  </si>
  <si>
    <t>B353</t>
  </si>
  <si>
    <t>Gépjárműadók</t>
  </si>
  <si>
    <t>B354</t>
  </si>
  <si>
    <t xml:space="preserve">Egyéb áruhasználati és szolgáltatási adók </t>
  </si>
  <si>
    <t>B355</t>
  </si>
  <si>
    <t xml:space="preserve">Termékek és szolgáltatások adói (=26+…+30) </t>
  </si>
  <si>
    <t>B35</t>
  </si>
  <si>
    <t xml:space="preserve">Egyéb közhatalmi bevételek </t>
  </si>
  <si>
    <t>B36</t>
  </si>
  <si>
    <t>Közhatalmi bevételek (=22+...+25+31+32)</t>
  </si>
  <si>
    <t>B3</t>
  </si>
  <si>
    <t>Készletértékesítés ellenértéke</t>
  </si>
  <si>
    <t>B401</t>
  </si>
  <si>
    <t>Szolgáltatások ellenértéke</t>
  </si>
  <si>
    <t>B402</t>
  </si>
  <si>
    <t>B403</t>
  </si>
  <si>
    <t>Tulajdonosi bevételek</t>
  </si>
  <si>
    <t>B404</t>
  </si>
  <si>
    <t>Ellátási díjak</t>
  </si>
  <si>
    <t>B405</t>
  </si>
  <si>
    <t>Kiszámlázott általános forgalmi adó</t>
  </si>
  <si>
    <t>B406</t>
  </si>
  <si>
    <t>Általános forgalmi adó visszatérítése</t>
  </si>
  <si>
    <t>B407</t>
  </si>
  <si>
    <t>Befektetett pénzügyi eszközökből származó bevételek</t>
  </si>
  <si>
    <t>B4081</t>
  </si>
  <si>
    <t>Egyéb kapott (járó) kamatok és kamatjellegű bevételek</t>
  </si>
  <si>
    <t>B4082</t>
  </si>
  <si>
    <t>Kamatbevételek és más nyereségjellegű bevételek (=41+42)</t>
  </si>
  <si>
    <t>B408</t>
  </si>
  <si>
    <t>Részesedésekből származó pénzügyi műveletek bevételei</t>
  </si>
  <si>
    <t>B4091</t>
  </si>
  <si>
    <t>Más egyéb pénzügyi műveletek bevételei</t>
  </si>
  <si>
    <t>B4092</t>
  </si>
  <si>
    <t>Egyéb pénzügyi műveletek bevételei (=44+45)</t>
  </si>
  <si>
    <t>B409</t>
  </si>
  <si>
    <t>Biztosító által fizetett kártérítés</t>
  </si>
  <si>
    <t>B410</t>
  </si>
  <si>
    <t>Egyéb működési bevételek</t>
  </si>
  <si>
    <t>B411</t>
  </si>
  <si>
    <t>Működési bevételek (=34+…+40+43+46+...+48)</t>
  </si>
  <si>
    <t>B4</t>
  </si>
  <si>
    <t>Immateriális javak értékesítése</t>
  </si>
  <si>
    <t>B51</t>
  </si>
  <si>
    <t>Ingatlanok értékesítése</t>
  </si>
  <si>
    <t>B52</t>
  </si>
  <si>
    <t>Egyéb tárgyi eszközök értékesítése</t>
  </si>
  <si>
    <t>B53</t>
  </si>
  <si>
    <t>Részesedések értékesítése</t>
  </si>
  <si>
    <t>B54</t>
  </si>
  <si>
    <t>Részesedések megszűnéséhez kapcsolódó bevételek</t>
  </si>
  <si>
    <t>B55</t>
  </si>
  <si>
    <t>Felhalmozási bevételek (=50+…+54)</t>
  </si>
  <si>
    <t>B5</t>
  </si>
  <si>
    <t>56</t>
  </si>
  <si>
    <t>Működési célú garancia- és kezességvállalásból származó megtérülések ÁHT kívülről</t>
  </si>
  <si>
    <t>B61</t>
  </si>
  <si>
    <t>57</t>
  </si>
  <si>
    <t>Működési célú visszatérítendő támogatások, kölcsönök visszatérülése az Európai Uniótól</t>
  </si>
  <si>
    <t>B62</t>
  </si>
  <si>
    <t>58</t>
  </si>
  <si>
    <t>Működési célú visszatérítendő támogatások, kölcsönök visszatérülése kormányoktól és más nemzetközi szervezetektől</t>
  </si>
  <si>
    <t>B63</t>
  </si>
  <si>
    <t>59</t>
  </si>
  <si>
    <t>Működési célú visszatérítendő támogatások, kölcsönök visszatérülése ÁHT kívülről</t>
  </si>
  <si>
    <t>B64</t>
  </si>
  <si>
    <t>60</t>
  </si>
  <si>
    <t>Egyéb működési célú átvett pénzeszközök</t>
  </si>
  <si>
    <t>B65</t>
  </si>
  <si>
    <t>61</t>
  </si>
  <si>
    <t>Működési célú átvett pénzeszközök (=56+…+60)</t>
  </si>
  <si>
    <t>B6</t>
  </si>
  <si>
    <t>62</t>
  </si>
  <si>
    <t>Felhalmozási célú garancia- és kezességvállalásból származó megtérülések ÁHT kívülről</t>
  </si>
  <si>
    <t>B71</t>
  </si>
  <si>
    <t>63</t>
  </si>
  <si>
    <t>Felhalmozási célú visszatérítendő támogatások, kölcsönök visszatérülése az Európai Uniótól</t>
  </si>
  <si>
    <t>B72</t>
  </si>
  <si>
    <t>64</t>
  </si>
  <si>
    <t>Felhalmozási célú visszatérítendő támogatások, kölcsönök visszatérülése kormányoktól és más nemzetközi szervezetektől</t>
  </si>
  <si>
    <t>B73</t>
  </si>
  <si>
    <t>65</t>
  </si>
  <si>
    <t>Felhalmozási célú visszatérítendő támogatások, kölcsönök visszatérülése ÁHT kívülről</t>
  </si>
  <si>
    <t>B74</t>
  </si>
  <si>
    <t>66</t>
  </si>
  <si>
    <t>Egyéb felhalmozási célú átvett pénzeszközök</t>
  </si>
  <si>
    <t>B75</t>
  </si>
  <si>
    <t>67</t>
  </si>
  <si>
    <t>Felhalmozási célú átvett pénzeszközök (=62+…+66)</t>
  </si>
  <si>
    <t>B7</t>
  </si>
  <si>
    <t>68</t>
  </si>
  <si>
    <t>Költségvetési bevételek (=13+19+33+49+55+61+67)</t>
  </si>
  <si>
    <t>B1-B7</t>
  </si>
  <si>
    <t>Hosszú lejáratú hitelek, kölcsönök törlesztése pénzügyi vállalkozásnak</t>
  </si>
  <si>
    <t>K9111</t>
  </si>
  <si>
    <t>Likviditási célú hitelek, kölcsönök törlesztése pénzügyi vállalkozásnak</t>
  </si>
  <si>
    <t>K9112</t>
  </si>
  <si>
    <t>Rövid lejáratú hitelek, kölcsönök törlesztése pénzügyi vállalkozásnak</t>
  </si>
  <si>
    <t>K9113</t>
  </si>
  <si>
    <t>Hitel-, kölcsöntörlesztés államháztartáson kívülre (=01+02+03)</t>
  </si>
  <si>
    <t>K911</t>
  </si>
  <si>
    <t>Forgatási célú belföldi értékpapírok vásárlása</t>
  </si>
  <si>
    <t>K9121</t>
  </si>
  <si>
    <t>Befektetési célú belföldi értékpapírok vásárlása</t>
  </si>
  <si>
    <t>K9122</t>
  </si>
  <si>
    <t>Kincstárjegyek beváltása</t>
  </si>
  <si>
    <t>K9123</t>
  </si>
  <si>
    <t>Éven belüli lejáratú belföldi értékpapírok beváltása</t>
  </si>
  <si>
    <t>K9124</t>
  </si>
  <si>
    <t>Belföldi kötvények beváltása</t>
  </si>
  <si>
    <t>K9125</t>
  </si>
  <si>
    <t>Éven túli lejáratú belföldi értékpapírok beváltása</t>
  </si>
  <si>
    <t>K9126</t>
  </si>
  <si>
    <t>Belföldi értékpapírok kiadásai (=05+…+10)</t>
  </si>
  <si>
    <t>K912</t>
  </si>
  <si>
    <t>Államháztartáson belüli megelőlegezések folyósítása</t>
  </si>
  <si>
    <t>K913</t>
  </si>
  <si>
    <t>Államháztartáson belüli megelőlegezések visszafizetése</t>
  </si>
  <si>
    <t>K914</t>
  </si>
  <si>
    <t>Központi, irányító szervi támogatások folyósítása</t>
  </si>
  <si>
    <t>K915</t>
  </si>
  <si>
    <t>Pénzeszközök lekötött bankbetétként elhelyezése</t>
  </si>
  <si>
    <t>K916</t>
  </si>
  <si>
    <t>Pénzügyi lízing kiadásai</t>
  </si>
  <si>
    <t>K917</t>
  </si>
  <si>
    <t>Központi költségvetés sajátos finanszírozási kiadásai</t>
  </si>
  <si>
    <t>K918</t>
  </si>
  <si>
    <t>Hosszú lejáratú tulajdonosi kölcsönök kiadásai</t>
  </si>
  <si>
    <t>K9191</t>
  </si>
  <si>
    <t>Rövid lejáratú tulajdonosi kölcsönök kiadásai</t>
  </si>
  <si>
    <t>K9192</t>
  </si>
  <si>
    <t>Tulajdonosi kölcsönök kiadásai (=18+19)</t>
  </si>
  <si>
    <t>K919</t>
  </si>
  <si>
    <t>Belföldi finanszírozás kiadásai (=04+11+…+17+20)</t>
  </si>
  <si>
    <t>K91</t>
  </si>
  <si>
    <t>Forgatási célú külföldi értékpapírok vásárlása</t>
  </si>
  <si>
    <t>K921</t>
  </si>
  <si>
    <t>Befektetési célú külföldi értékpapírok vásárlása</t>
  </si>
  <si>
    <t>K922</t>
  </si>
  <si>
    <t>Külföldi értékpapírok beváltása</t>
  </si>
  <si>
    <t>K923</t>
  </si>
  <si>
    <t>Hitelek, kölcsönök törlesztése külföldi kormányoknak és nemzetközi szervezeteknek</t>
  </si>
  <si>
    <t>K924</t>
  </si>
  <si>
    <t>Hitelek, kölcsönök törlesztése külföldi pénzintézeteknek</t>
  </si>
  <si>
    <t>K925</t>
  </si>
  <si>
    <t>Külföldi finanszírozás kiadásai (=22+…+26)</t>
  </si>
  <si>
    <t>K92</t>
  </si>
  <si>
    <t>Adóssághoz nem kapcsolódó származékos ügyletek kiadásai</t>
  </si>
  <si>
    <t>K93</t>
  </si>
  <si>
    <t>Váltókiadások</t>
  </si>
  <si>
    <t>K94</t>
  </si>
  <si>
    <t>Finanszírozási kiadások (=21+27+28+29)</t>
  </si>
  <si>
    <t>K9</t>
  </si>
  <si>
    <t>Hosszú lejáratú hitelek, kölcsönök felvétele pénzügyi vállalkozástól</t>
  </si>
  <si>
    <t>B8111</t>
  </si>
  <si>
    <t>Likviditási célú hitelek, kölcsönök felvétele pénzügyi vállalkozástól</t>
  </si>
  <si>
    <t>B8112</t>
  </si>
  <si>
    <t>Rövid lejáratú hitelek, kölcsönök felvétele pénzügyi vállalkozástól</t>
  </si>
  <si>
    <t>B8113</t>
  </si>
  <si>
    <t>Hitel-, kölcsönfelvétel pénzügyi vállalkozástól (=01+02+03)</t>
  </si>
  <si>
    <t>B811</t>
  </si>
  <si>
    <t>Forgatási célú belföldi értékpapírok beváltása, értékesítése</t>
  </si>
  <si>
    <t>B8121</t>
  </si>
  <si>
    <t>Éven belüli lejáratú belföldi értékpapírok kibocsátása</t>
  </si>
  <si>
    <t>B8122</t>
  </si>
  <si>
    <t>Befektetési célú belföldi értékpapírok beváltása, értékesítése</t>
  </si>
  <si>
    <t>B8123</t>
  </si>
  <si>
    <t>Éven túli lejáratú belföldi értékpapírok kibocsátása</t>
  </si>
  <si>
    <t>B8124</t>
  </si>
  <si>
    <t>Belföldi értékpapírok bevételei (=05+..+08)</t>
  </si>
  <si>
    <t>B812</t>
  </si>
  <si>
    <t>Előző év költségvetési maradványának igénybevétele</t>
  </si>
  <si>
    <t>B8131</t>
  </si>
  <si>
    <t>Előző év vállalkozási maradványának igénybevétele</t>
  </si>
  <si>
    <t>B8132</t>
  </si>
  <si>
    <t>Maradvány igénybevétele (=10+11)</t>
  </si>
  <si>
    <t>B813</t>
  </si>
  <si>
    <t>Államháztartáson belüli megelőlegezések</t>
  </si>
  <si>
    <t>B814</t>
  </si>
  <si>
    <t>Államháztartáson belüli megelőlegezések törlesztése</t>
  </si>
  <si>
    <t>B815</t>
  </si>
  <si>
    <t>Központi, irányító szervi támogatás</t>
  </si>
  <si>
    <t>B816</t>
  </si>
  <si>
    <t>Lekötött bankbetétek megszüntetése</t>
  </si>
  <si>
    <t>B817</t>
  </si>
  <si>
    <t>Központi költségvetés sajátos finanszírozási bevételei</t>
  </si>
  <si>
    <t>B818</t>
  </si>
  <si>
    <t>Hosszú lejáratú tulajdonosi kölcsönök bevételei</t>
  </si>
  <si>
    <t>B8191</t>
  </si>
  <si>
    <t>Rövid lejáratú tulajdonosi kölcsönök bevételei</t>
  </si>
  <si>
    <t>B8192</t>
  </si>
  <si>
    <t>Tulajdonosi kölcsönök bevételei (=18+19)</t>
  </si>
  <si>
    <t>B819</t>
  </si>
  <si>
    <t>Belföldi finanszírozás bevételei (=04+09+12+…+17+20)</t>
  </si>
  <si>
    <t>B81</t>
  </si>
  <si>
    <t>Forgatási célú külföldi értékpapírok beváltása, értékesítése</t>
  </si>
  <si>
    <t>B821</t>
  </si>
  <si>
    <t>Befektetési célú külföldi értékpapírok beváltása, értékesítése</t>
  </si>
  <si>
    <t>B822</t>
  </si>
  <si>
    <t>Külföldi értékpapírok kibocsátása</t>
  </si>
  <si>
    <t>B823</t>
  </si>
  <si>
    <t>Hitelek, kölcsönök felvétele külföldi kormányoktól és nemzetközi szervezetektől</t>
  </si>
  <si>
    <t>B824</t>
  </si>
  <si>
    <t>Hitelek, kölcsönök felvétele külföldi pénzintézetektől</t>
  </si>
  <si>
    <t>B825</t>
  </si>
  <si>
    <t>Külföldi finanszírozás bevételei (=22+…+26)</t>
  </si>
  <si>
    <t>B82</t>
  </si>
  <si>
    <t>Adóssághoz nem kapcsolódó származékos ügyletek bevételei</t>
  </si>
  <si>
    <t>B83</t>
  </si>
  <si>
    <t>Váltóbevételek</t>
  </si>
  <si>
    <t>B84</t>
  </si>
  <si>
    <t>Finanszírozási bevételek (=21+27+28+29)</t>
  </si>
  <si>
    <t>B8</t>
  </si>
  <si>
    <t>Magyarországi Görögök Országos Önkormányzata</t>
  </si>
  <si>
    <t>Intézmény megnevezés</t>
  </si>
  <si>
    <t>Törvényszerinti alapilletmény</t>
  </si>
  <si>
    <t>Megbízások  nem saját dolgozó juttatások</t>
  </si>
  <si>
    <t>SZEMÉLYI KIADÁSOK ÖSSZESEN</t>
  </si>
  <si>
    <t xml:space="preserve">Munkaadókat terhelő járulékok                                                                       </t>
  </si>
  <si>
    <t>BÉR KIADÁSOK ÖSSZESEN</t>
  </si>
  <si>
    <t>Magyarországi Görög Országos Önkormányzata</t>
  </si>
  <si>
    <t>Magyarországi Görög Országos Önkormányzatának Hivatala</t>
  </si>
  <si>
    <t>Nikosz Beliannisz Művelődésiház és Könyvtar</t>
  </si>
  <si>
    <t>Nikosz Beliannisz Általános Iskola és Óvoda</t>
  </si>
  <si>
    <t>BEVÉTELEK ÖSSZESEN</t>
  </si>
  <si>
    <t>Immateriális javak beszerzés</t>
  </si>
  <si>
    <t>Beruházás Áfa</t>
  </si>
  <si>
    <t>intézmény vezető</t>
  </si>
  <si>
    <t>Művház Előirányzat</t>
  </si>
  <si>
    <t>Kiadások Összesen</t>
  </si>
  <si>
    <t>Bér kiadások</t>
  </si>
  <si>
    <t>Finanszírozási kiadások</t>
  </si>
  <si>
    <t>Bér kiadás összesen</t>
  </si>
  <si>
    <t>Dologi kiadások</t>
  </si>
  <si>
    <t>Önkormányzat</t>
  </si>
  <si>
    <t>Kulturális Intézet</t>
  </si>
  <si>
    <t>Művelődésiház és Könyvtár</t>
  </si>
  <si>
    <t>Nikosz Beloiannisz Ált. Iskola és Óvoda</t>
  </si>
  <si>
    <t>12. Évfolyamos Görög Kiegészítő Iskola</t>
  </si>
  <si>
    <t>gazdasági vezető</t>
  </si>
  <si>
    <t>Költségvetési szerv vezetője</t>
  </si>
  <si>
    <t>Bevételek Összesen</t>
  </si>
  <si>
    <t>Finanszírozási bevételek</t>
  </si>
  <si>
    <t>Felhalmozási bevételek</t>
  </si>
  <si>
    <t>B121</t>
  </si>
  <si>
    <t>B14091</t>
  </si>
  <si>
    <t>B15091</t>
  </si>
  <si>
    <t>B1609</t>
  </si>
  <si>
    <t>B161</t>
  </si>
  <si>
    <t>B161011</t>
  </si>
  <si>
    <t>B25091</t>
  </si>
  <si>
    <t>B4031</t>
  </si>
  <si>
    <t>B411511</t>
  </si>
  <si>
    <t>K11131</t>
  </si>
  <si>
    <t>K1211</t>
  </si>
  <si>
    <t>K1-K2</t>
  </si>
  <si>
    <t>K3221</t>
  </si>
  <si>
    <t>K3321</t>
  </si>
  <si>
    <t>K3331</t>
  </si>
  <si>
    <t>K33421</t>
  </si>
  <si>
    <t>K3361</t>
  </si>
  <si>
    <t>K33611</t>
  </si>
  <si>
    <t>K33621</t>
  </si>
  <si>
    <t>K50</t>
  </si>
  <si>
    <t>K471</t>
  </si>
  <si>
    <t>K506-8</t>
  </si>
  <si>
    <t>K3-K5</t>
  </si>
  <si>
    <t>K6-K7</t>
  </si>
  <si>
    <t>K9151</t>
  </si>
  <si>
    <t>K1-K9</t>
  </si>
  <si>
    <t>B1-B9</t>
  </si>
  <si>
    <t>2018 évi Köznevelési Intézmények Normatív támogatás</t>
  </si>
  <si>
    <t>BPM-ÁHI/1349-6/2018 igénylés alapján</t>
  </si>
  <si>
    <t>BPM-ÁHI/2793-3/2018 elszámolás alapján</t>
  </si>
  <si>
    <t>Pedagogus munkáját segítők támogatása 01-08 hó</t>
  </si>
  <si>
    <t>12 Évfolyamos</t>
  </si>
  <si>
    <t>Óvoda nevelés</t>
  </si>
  <si>
    <t>Ált. Iskola 1-8</t>
  </si>
  <si>
    <t>Kiegészítő okt. Ált. Isk. 1-8</t>
  </si>
  <si>
    <t>Kiegészítő okt. Gimi</t>
  </si>
  <si>
    <t>Óvoda pedag. Munkáját segítők</t>
  </si>
  <si>
    <t>Nevelő oktató munkát segítők</t>
  </si>
  <si>
    <t>Pedagogusz munkáját segítők 09-12 hó</t>
  </si>
  <si>
    <t>Pedagogusz munkáját segítők összesen</t>
  </si>
  <si>
    <t>Minősített pedagogusz 1-8 hó</t>
  </si>
  <si>
    <t>Minősített pedagogusz-Mester</t>
  </si>
  <si>
    <t>Minősített pedagogusz Ped II</t>
  </si>
  <si>
    <t>Minősített pedagogusz 9-12 hó</t>
  </si>
  <si>
    <t>Minősített pedagogusz összesen</t>
  </si>
  <si>
    <t>BÉR JELLEGŰ TÁMOGATÁS ÖSSZESEN</t>
  </si>
  <si>
    <t>Működési támogatás 1-8 hó</t>
  </si>
  <si>
    <t>ISK</t>
  </si>
  <si>
    <t>Működési támogatás 9-12 hó</t>
  </si>
  <si>
    <t>MŰKÖDÉSI TÁMOGATÁS ÖSSZESEN</t>
  </si>
  <si>
    <t>Étkezési támogatás 1-8 és 09-12 hó</t>
  </si>
  <si>
    <t>Óvodai ingyenes étkeztetés</t>
  </si>
  <si>
    <t>Gyemrek étkeztetés</t>
  </si>
  <si>
    <t>ÉTKEZÉSI TÁMOGATÁS ÖSSZESEN</t>
  </si>
  <si>
    <t>Tankönyv támogatás</t>
  </si>
  <si>
    <t>Negyedikes tanukók ingyenes</t>
  </si>
  <si>
    <t>Elsős tanulók létszám növekedés után ingyenes</t>
  </si>
  <si>
    <t>Harmadikos tanulók ingyenes</t>
  </si>
  <si>
    <t xml:space="preserve">Tanulók ingyenes </t>
  </si>
  <si>
    <t>TANKÖNYVTÁMOGATÁS ÖSSZESEN</t>
  </si>
  <si>
    <t>MIND ÖSSZESEN ÉVES TÁMOGATÁS</t>
  </si>
  <si>
    <t>Kiutalt támogatás 01-04 hó</t>
  </si>
  <si>
    <t>2017 évi támogatás</t>
  </si>
  <si>
    <t>Előlegben MÁK átutalt</t>
  </si>
  <si>
    <t>Ki nem utalt támogatás - jár</t>
  </si>
  <si>
    <t>05 havi támogatás</t>
  </si>
  <si>
    <t>Várható átutalás</t>
  </si>
  <si>
    <t>6. melléklet a 2018. évi L. törvényhez</t>
  </si>
  <si>
    <t>A közalkalmazotti fizetési osztályok első fizetési fokozata szerinti garantált illetmények havi összege forintban,</t>
  </si>
  <si>
    <t>valamint a fizetési fokozatokhoz tartozó legkisebb szorzószámok</t>
  </si>
  <si>
    <t>2019. évben</t>
  </si>
  <si>
    <t>Fizetési</t>
  </si>
  <si>
    <t>Fizetési osztályok</t>
  </si>
  <si>
    <t>fokozatok</t>
  </si>
  <si>
    <t>A</t>
  </si>
  <si>
    <t>B</t>
  </si>
  <si>
    <t>C</t>
  </si>
  <si>
    <t>D</t>
  </si>
  <si>
    <t>E</t>
  </si>
  <si>
    <t>F</t>
  </si>
  <si>
    <t>G</t>
  </si>
  <si>
    <t>H</t>
  </si>
  <si>
    <t>I</t>
  </si>
  <si>
    <t>J</t>
  </si>
  <si>
    <t>14.</t>
  </si>
  <si>
    <t>15.</t>
  </si>
  <si>
    <t>16.</t>
  </si>
  <si>
    <t>17.</t>
  </si>
  <si>
    <t xml:space="preserve">közalkalmazottak Nemzetiségi. pótlék </t>
  </si>
  <si>
    <t xml:space="preserve">közalkalmazottak Osztályfőnöki. pótlék </t>
  </si>
  <si>
    <t>051113241</t>
  </si>
  <si>
    <t>051113251</t>
  </si>
  <si>
    <t>Foglalk. egyéb személyi juttat.BKV bérlet</t>
  </si>
  <si>
    <t>Foglalk. egyéb személyi juttat.Munkábajárás</t>
  </si>
  <si>
    <t>Közhatalmi bevételek</t>
  </si>
  <si>
    <t>Működési célú átvett pénzeszközök</t>
  </si>
  <si>
    <t>MAGYARORSZÁGI GÖRÖGÖK ORSZÁGOS ÖNKORMÁNYZAT ÉS INTÉZMÉNYEINEK</t>
  </si>
  <si>
    <t>4. sz melléklet</t>
  </si>
  <si>
    <t>Megnevezés</t>
  </si>
  <si>
    <t>B E V É T E L E K   A L A K U L Á S A</t>
  </si>
  <si>
    <t>Önkormányzat és média támogatás</t>
  </si>
  <si>
    <t>Műküdési bevételek</t>
  </si>
  <si>
    <t>Kiegészítő támogatási bevételek</t>
  </si>
  <si>
    <t>Egyéb bevételek</t>
  </si>
  <si>
    <t>Intézmények támogatás</t>
  </si>
  <si>
    <t>K I A D Á S O K   A L A K U L Á S A</t>
  </si>
  <si>
    <t>Önkormányzat és média kiadásai</t>
  </si>
  <si>
    <t>Bér és bérjellegű kiadások</t>
  </si>
  <si>
    <t>Bérjárulék kiadások</t>
  </si>
  <si>
    <t>Ellátások</t>
  </si>
  <si>
    <t>Finanszírozási Kiadások</t>
  </si>
  <si>
    <t>Budapest, 2017/02/06</t>
  </si>
  <si>
    <t>Elnök</t>
  </si>
  <si>
    <t>2017. ÉVI KÖTELEZŐ FELADATÚ ELEMI KÖLTSÉGVETÉS</t>
  </si>
  <si>
    <t>10. sz melléklet</t>
  </si>
  <si>
    <t>Ö  N  K  O  R  M  Á  N  Y  Z  A  T</t>
  </si>
  <si>
    <t>ELŐIRÁNYZATOK FELHASZNÁLÁSI TERV</t>
  </si>
  <si>
    <t>Költségnem megnevezés</t>
  </si>
  <si>
    <t>Január</t>
  </si>
  <si>
    <t>Február</t>
  </si>
  <si>
    <t>Március</t>
  </si>
  <si>
    <t>Április</t>
  </si>
  <si>
    <t>Május</t>
  </si>
  <si>
    <t>Június</t>
  </si>
  <si>
    <t>Július</t>
  </si>
  <si>
    <t>Augusztus</t>
  </si>
  <si>
    <t>Szeptember</t>
  </si>
  <si>
    <t>Október</t>
  </si>
  <si>
    <t>November</t>
  </si>
  <si>
    <t>December</t>
  </si>
  <si>
    <t xml:space="preserve">BEVÉTELEK  </t>
  </si>
  <si>
    <t>Költségvetési támogatás</t>
  </si>
  <si>
    <t>Normatív Támogatás</t>
  </si>
  <si>
    <t>Kiegészítő támogatások</t>
  </si>
  <si>
    <t>Finaszírozási bevételek</t>
  </si>
  <si>
    <t>Bevételek összesen</t>
  </si>
  <si>
    <t>KIADÁSOK</t>
  </si>
  <si>
    <t>Bérjárulék kiadás</t>
  </si>
  <si>
    <t>Anyagjellegű kiadások</t>
  </si>
  <si>
    <t>Igénybevett szolgáltatások</t>
  </si>
  <si>
    <t>Dologi kiadások összesen</t>
  </si>
  <si>
    <t>Ellátatok juttatásai</t>
  </si>
  <si>
    <t>Egyéb kiadások összesen</t>
  </si>
  <si>
    <t>Működési kiadások összesen</t>
  </si>
  <si>
    <t>Tárgyi eszközök beszerzés</t>
  </si>
  <si>
    <t>Beruházási kiadások összesen</t>
  </si>
  <si>
    <t>Felújítási kiadások összesen</t>
  </si>
  <si>
    <t>Felhalmozási kiadások összesen</t>
  </si>
  <si>
    <t>Kiadások összesen</t>
  </si>
  <si>
    <t>I  N  T  É  Z  M  É  N  Y  E  K</t>
  </si>
  <si>
    <t>Kutató intézet</t>
  </si>
  <si>
    <t>Művelődési Ház</t>
  </si>
  <si>
    <t>K Ö Z N E V E L É S I    I N T É Z M É N Y E K</t>
  </si>
  <si>
    <t>Manolisz Glezosz Kieg. Iskola</t>
  </si>
  <si>
    <t>Nikosz Belioannisz Ált. Iskola és Óvoda</t>
  </si>
  <si>
    <t>Görök Ált. Iskola és Gimnázium</t>
  </si>
  <si>
    <t>BPM-ÁHI/4576-3/2018 elszámolás alapján</t>
  </si>
  <si>
    <t>Más szakmai tevékenység-Nyelv oktatás</t>
  </si>
  <si>
    <t>Más egyéb szolgáltatások - Takarítás, Vegyi tisztítás</t>
  </si>
  <si>
    <t>EGYÉB KIADÁSOK</t>
  </si>
  <si>
    <t>ILLETMÉNY ÖSSZESEN</t>
  </si>
  <si>
    <t>JÁRULÉK ÉS ADÓK</t>
  </si>
  <si>
    <t>Közvetített szolgáltatások ellenértéke - áht kívül</t>
  </si>
  <si>
    <t>közalkalmazottak Képzettségi. pótlék és Kulturális</t>
  </si>
  <si>
    <t>költségek visszatérítési bevételei-(intézményi befizetései)</t>
  </si>
  <si>
    <t>költségek visszatérítési bevételei-(magán személy befizetései)</t>
  </si>
  <si>
    <t>18.</t>
  </si>
  <si>
    <t>19.</t>
  </si>
  <si>
    <t>20.</t>
  </si>
  <si>
    <t>21.</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</si>
  <si>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</si>
  <si>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</si>
  <si>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</si>
  <si>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</si>
  <si>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</si>
  <si>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</si>
  <si>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</si>
  <si>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</si>
  <si>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</si>
  <si>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</si>
  <si>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</si>
  <si>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</si>
  <si>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</si>
  <si>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</si>
  <si>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</si>
  <si>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</si>
  <si>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</si>
  <si>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</si>
  <si>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</si>
  <si>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</si>
  <si>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</si>
  <si>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</si>
  <si>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</si>
  <si>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</si>
  <si>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</si>
  <si>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</si>
  <si>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</si>
  <si>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</si>
  <si>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</si>
  <si>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</si>
  <si>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</si>
  <si>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</si>
  <si>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</si>
  <si>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</si>
  <si>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</si>
  <si>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</si>
  <si>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</si>
  <si>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</si>
  <si>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</si>
  <si>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</si>
  <si>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</si>
  <si>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</si>
  <si>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</si>
  <si>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</si>
  <si>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</si>
  <si>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</si>
  <si>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</si>
  <si>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</si>
  <si>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</si>
  <si>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</si>
  <si>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77.</t>
  </si>
  <si>
    <t>78.</t>
  </si>
  <si>
    <t>79.</t>
  </si>
  <si>
    <t>80.</t>
  </si>
  <si>
    <t>81.</t>
  </si>
  <si>
    <t>82.</t>
  </si>
  <si>
    <t>83.</t>
  </si>
  <si>
    <t>84.</t>
  </si>
  <si>
    <t>85.</t>
  </si>
  <si>
    <t>86.</t>
  </si>
  <si>
    <t>87.</t>
  </si>
  <si>
    <t>88.</t>
  </si>
  <si>
    <t>90.</t>
  </si>
  <si>
    <t>91.</t>
  </si>
  <si>
    <t>92.</t>
  </si>
  <si>
    <t>93.</t>
  </si>
  <si>
    <t>95.</t>
  </si>
  <si>
    <t>96.</t>
  </si>
  <si>
    <t>97.</t>
  </si>
  <si>
    <t>98.</t>
  </si>
  <si>
    <t>99.</t>
  </si>
  <si>
    <t>101.</t>
  </si>
  <si>
    <t>102.</t>
  </si>
  <si>
    <t>103.</t>
  </si>
  <si>
    <t>104.</t>
  </si>
  <si>
    <t>105.</t>
  </si>
  <si>
    <t>106.</t>
  </si>
  <si>
    <t>107.</t>
  </si>
  <si>
    <t>108.</t>
  </si>
  <si>
    <t>109.</t>
  </si>
  <si>
    <t>110.</t>
  </si>
  <si>
    <t>111.</t>
  </si>
  <si>
    <t>113.</t>
  </si>
  <si>
    <t>114.</t>
  </si>
  <si>
    <t>115.</t>
  </si>
  <si>
    <t>116.</t>
  </si>
  <si>
    <t>117.</t>
  </si>
  <si>
    <t>118.</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</si>
  <si>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</si>
  <si>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</si>
  <si>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</si>
  <si>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</si>
  <si>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</si>
  <si>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</si>
  <si>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</si>
  <si>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</si>
  <si>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</si>
  <si>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</si>
  <si>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</si>
  <si>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</si>
  <si>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</si>
  <si>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</si>
  <si>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</si>
  <si>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</si>
  <si>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</si>
  <si>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</si>
  <si>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</si>
  <si>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</si>
  <si>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</si>
  <si>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</si>
  <si>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</si>
  <si>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</si>
  <si>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145.</t>
  </si>
  <si>
    <t>147.</t>
  </si>
  <si>
    <t>148.</t>
  </si>
  <si>
    <t>149.</t>
  </si>
  <si>
    <t>151.</t>
  </si>
  <si>
    <t>152.</t>
  </si>
  <si>
    <t>153.</t>
  </si>
  <si>
    <t>155.</t>
  </si>
  <si>
    <t>156.</t>
  </si>
  <si>
    <t>157.</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</si>
  <si>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</si>
  <si>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</si>
  <si>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</si>
  <si>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</si>
  <si>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</si>
  <si>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</si>
  <si>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</si>
  <si>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</si>
  <si>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</si>
  <si>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</si>
  <si>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</si>
  <si>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</si>
  <si>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</si>
  <si>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</si>
  <si>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</si>
  <si>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</si>
  <si>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</si>
  <si>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</si>
  <si>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</si>
  <si>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</si>
  <si>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</si>
  <si>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</si>
  <si>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</si>
  <si>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</si>
  <si>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</si>
  <si>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</si>
  <si>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</si>
  <si>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</si>
  <si>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</si>
  <si>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</si>
  <si>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</si>
  <si>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</si>
  <si>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</si>
  <si>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</si>
  <si>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</si>
  <si>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</si>
  <si>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</si>
  <si>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</si>
  <si>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198.</t>
  </si>
  <si>
    <t>199.</t>
  </si>
  <si>
    <t>200.</t>
  </si>
  <si>
    <t>201.</t>
  </si>
  <si>
    <t>202.</t>
  </si>
  <si>
    <t>204.</t>
  </si>
  <si>
    <t>205.</t>
  </si>
  <si>
    <t>206.</t>
  </si>
  <si>
    <t>207.</t>
  </si>
  <si>
    <t>208.</t>
  </si>
  <si>
    <t>209.</t>
  </si>
  <si>
    <t>210.</t>
  </si>
  <si>
    <t>211.</t>
  </si>
  <si>
    <t>212.</t>
  </si>
  <si>
    <t>213.</t>
  </si>
  <si>
    <t>214.</t>
  </si>
  <si>
    <t>215.</t>
  </si>
  <si>
    <t>216.</t>
  </si>
  <si>
    <t>217.</t>
  </si>
  <si>
    <t>219.</t>
  </si>
  <si>
    <t>221.</t>
  </si>
  <si>
    <t>223.</t>
  </si>
  <si>
    <t>224.</t>
  </si>
  <si>
    <t>225.</t>
  </si>
  <si>
    <t>227.</t>
  </si>
  <si>
    <t>228.</t>
  </si>
  <si>
    <t>229.</t>
  </si>
  <si>
    <t>231.</t>
  </si>
  <si>
    <t>232.</t>
  </si>
  <si>
    <t>233.</t>
  </si>
  <si>
    <t>235.</t>
  </si>
  <si>
    <t>237.</t>
  </si>
  <si>
    <t>238.</t>
  </si>
  <si>
    <t>239.</t>
  </si>
  <si>
    <t>240.</t>
  </si>
  <si>
    <t>241.</t>
  </si>
  <si>
    <t>243.</t>
  </si>
  <si>
    <t>244.</t>
  </si>
  <si>
    <t>245.</t>
  </si>
  <si>
    <t>246.</t>
  </si>
  <si>
    <t>248.</t>
  </si>
  <si>
    <t>249.</t>
  </si>
  <si>
    <t>250.</t>
  </si>
  <si>
    <t>251.</t>
  </si>
  <si>
    <t>252.</t>
  </si>
  <si>
    <t>253.</t>
  </si>
  <si>
    <t>254.</t>
  </si>
  <si>
    <t>255.</t>
  </si>
  <si>
    <t>ÖSSZES</t>
  </si>
  <si>
    <t>ÖNKORMÁNYZAT ÉS MÉDIA</t>
  </si>
  <si>
    <t>ÖNKORMÁNYZAT HIVATALA</t>
  </si>
  <si>
    <t>Közelező feladat</t>
  </si>
  <si>
    <t>Önként vállalt feladat</t>
  </si>
  <si>
    <t>GÖRÖG INTÉZET</t>
  </si>
  <si>
    <t>MŰVELŐDÉSI HÁZ</t>
  </si>
  <si>
    <t>Országos Önkormányzat Intézményei támogatás</t>
  </si>
  <si>
    <t>Költségvetési támog. - Görög Intézet</t>
  </si>
  <si>
    <t>Manolisz Glezosz 12 Évfoly. Kieg. Görög Nyelvoktató Iskola</t>
  </si>
  <si>
    <t>Más szakmai tevékenység-Tanulmányi verseny</t>
  </si>
  <si>
    <t>Görög Intézet Előirányzat</t>
  </si>
  <si>
    <t>Manolisz Glezosz Iskola Előirányzat</t>
  </si>
  <si>
    <t>Nikosz Beloiannisz Iskola Előirányzat</t>
  </si>
  <si>
    <t xml:space="preserve">Önkormányzat </t>
  </si>
  <si>
    <t>Kötelező feladat</t>
  </si>
  <si>
    <t>73.</t>
  </si>
  <si>
    <t>74.</t>
  </si>
  <si>
    <t>75.</t>
  </si>
  <si>
    <t>76.</t>
  </si>
  <si>
    <t>89.</t>
  </si>
  <si>
    <t>94.</t>
  </si>
  <si>
    <t>100.</t>
  </si>
  <si>
    <t>112.</t>
  </si>
  <si>
    <t>119.</t>
  </si>
  <si>
    <t>144.</t>
  </si>
  <si>
    <t>146.</t>
  </si>
  <si>
    <t>150.</t>
  </si>
  <si>
    <t>154.</t>
  </si>
  <si>
    <t>158.</t>
  </si>
  <si>
    <t>197.</t>
  </si>
  <si>
    <t>203.</t>
  </si>
  <si>
    <t>218.</t>
  </si>
  <si>
    <t>220.</t>
  </si>
  <si>
    <t>222.</t>
  </si>
  <si>
    <t>226.</t>
  </si>
  <si>
    <t>230.</t>
  </si>
  <si>
    <t>234.</t>
  </si>
  <si>
    <t>236.</t>
  </si>
  <si>
    <t>242.</t>
  </si>
  <si>
    <t>247.</t>
  </si>
  <si>
    <t>053362319</t>
  </si>
  <si>
    <t>hivatalvezető</t>
  </si>
  <si>
    <t>elnök</t>
  </si>
  <si>
    <t>Görög Intézet</t>
  </si>
  <si>
    <t>1. sz. melléklet</t>
  </si>
  <si>
    <t>2. sz. melléklet</t>
  </si>
  <si>
    <t>3. sz. melléklet</t>
  </si>
  <si>
    <t>4. sz. melléklet</t>
  </si>
  <si>
    <t>5. sz. melléklet</t>
  </si>
  <si>
    <t>6. sz. melléklet</t>
  </si>
  <si>
    <t>3/1. sz. melléklet</t>
  </si>
  <si>
    <t>3/2. sz. melléklet</t>
  </si>
  <si>
    <t>MGO Önkormányzata Előirányzat</t>
  </si>
  <si>
    <t>Önként feladat</t>
  </si>
  <si>
    <t>Állami feladat</t>
  </si>
  <si>
    <t>Önkormányzat keret</t>
  </si>
  <si>
    <t>MGO Önkormányzatának Hivatala Előirányzat</t>
  </si>
  <si>
    <t>Önkormányzat keret Összes</t>
  </si>
  <si>
    <t>Intézményi keret Összes</t>
  </si>
  <si>
    <t>Intézményi keret</t>
  </si>
  <si>
    <t>Költségvetési kiadások Összesen(=95+30)</t>
  </si>
  <si>
    <t>Oktatási keret Összes</t>
  </si>
  <si>
    <t>Oktatási keret</t>
  </si>
  <si>
    <t>1/1. sz mellékelt</t>
  </si>
  <si>
    <t>1/2. sz mellékelt</t>
  </si>
  <si>
    <t>1/3. sz mellékelt</t>
  </si>
  <si>
    <t>1/4. sz mellékelt</t>
  </si>
  <si>
    <t>1/8. sz mellékelt</t>
  </si>
  <si>
    <t>1/9. sz mellékelt</t>
  </si>
  <si>
    <t>Költségvetési bevételek Összesen(=68+30)</t>
  </si>
  <si>
    <t>Működési célú bevételek és kiadások költségvetési mérlege
(Önkormányzat)</t>
  </si>
  <si>
    <t xml:space="preserve"> forintban !</t>
  </si>
  <si>
    <t>Bevételek</t>
  </si>
  <si>
    <t>Kiadások</t>
  </si>
  <si>
    <t>2018. évi eredeti előirányzat</t>
  </si>
  <si>
    <t>2018. évi módosított előirányzat</t>
  </si>
  <si>
    <t>2018. évi teljesítés</t>
  </si>
  <si>
    <t>Önkormányzatok működési támogatásai</t>
  </si>
  <si>
    <t xml:space="preserve">Személyi juttatások </t>
  </si>
  <si>
    <t>001</t>
  </si>
  <si>
    <t>Működési célú támogatások államháztartáson belülről</t>
  </si>
  <si>
    <t>Munkaadókat terh. Járulékok, szociális hozzájárulási adó</t>
  </si>
  <si>
    <t>002</t>
  </si>
  <si>
    <t xml:space="preserve">Dologi kiadások </t>
  </si>
  <si>
    <t>003</t>
  </si>
  <si>
    <t>Ellátottak pénzbeli juttatásai</t>
  </si>
  <si>
    <t>004</t>
  </si>
  <si>
    <t>Elvonások és Befizetések kiadásai</t>
  </si>
  <si>
    <t>005</t>
  </si>
  <si>
    <t xml:space="preserve">Egyéb működési célú támogatási kiadások </t>
  </si>
  <si>
    <t>006</t>
  </si>
  <si>
    <t>007</t>
  </si>
  <si>
    <t>Működési költségvetési bevételek összesen (1-7)</t>
  </si>
  <si>
    <t>Működési költségvetési kiadások összesen (1-7)</t>
  </si>
  <si>
    <t>Hitel-, kölcsönfelvétel pénzügyi vállalkozástól</t>
  </si>
  <si>
    <t>Hitel-, kölcsön nyújtás pénzügyi vállalkozásnak</t>
  </si>
  <si>
    <t xml:space="preserve">Belföldi értékpapírok bevételei </t>
  </si>
  <si>
    <t>Belföldi értékpapírok kiadásai</t>
  </si>
  <si>
    <t xml:space="preserve">Maradvány igénybevétele </t>
  </si>
  <si>
    <t>Tulajdonosi kölcsönök bevételei</t>
  </si>
  <si>
    <t>Tulajdonosi kölcsön bevétel</t>
  </si>
  <si>
    <t xml:space="preserve">Külföldi finanszírozás bevételei </t>
  </si>
  <si>
    <t>Külföldi finanszírozás kiadásai</t>
  </si>
  <si>
    <t>II.</t>
  </si>
  <si>
    <t>Működési célú finanszírozási bevételek összesen (8-14)</t>
  </si>
  <si>
    <t>008</t>
  </si>
  <si>
    <t>Immateriális javak értékesítés</t>
  </si>
  <si>
    <t>009</t>
  </si>
  <si>
    <t>Gépek, berendezések értékesítés</t>
  </si>
  <si>
    <t>Informatikai eszközök beszerzés</t>
  </si>
  <si>
    <t>010</t>
  </si>
  <si>
    <t>Részedések értékesítése</t>
  </si>
  <si>
    <t>Gépek, berendezések beszerzés</t>
  </si>
  <si>
    <t>011</t>
  </si>
  <si>
    <t>Felhalmozásisi célú átvett pénzeszközök</t>
  </si>
  <si>
    <t>012</t>
  </si>
  <si>
    <t>Felhalmozásisi célú támogatási bevételek</t>
  </si>
  <si>
    <t>013</t>
  </si>
  <si>
    <t>014</t>
  </si>
  <si>
    <t>Felhalmozásisi célú adott pénzeszközök</t>
  </si>
  <si>
    <t>015</t>
  </si>
  <si>
    <t>III</t>
  </si>
  <si>
    <t>Felhalmozási bevételek összesen (15-21)</t>
  </si>
  <si>
    <t>017</t>
  </si>
  <si>
    <t>BEVÉTEL ÖSSZESEN (I+II+III)</t>
  </si>
  <si>
    <t xml:space="preserve"> </t>
  </si>
  <si>
    <t>KIADÁSOK ÖSSZESEN (I+II+III)</t>
  </si>
  <si>
    <t>018</t>
  </si>
  <si>
    <t>Budapest, 2019. 02. 22</t>
  </si>
  <si>
    <t>Működési célú bevételek és kiadások mérlege
(Hivatal)</t>
  </si>
  <si>
    <t>2.3 melléklet a 2018 évi zárszámodás és beszámolóhoz</t>
  </si>
  <si>
    <t>I. Működési célú bevételek és kiadások mérlege
(12 Évfolyamos Görög Kiegészítő Iskola)</t>
  </si>
  <si>
    <t>I. Működési célú bevételek és kiadások mérlege
(Nikosz Beloiannisz Ált. Iskola és Óvoda)</t>
  </si>
  <si>
    <t>Működési célú bevételek és kiadások mérlege
Művelődésiház és Könyvtár)</t>
  </si>
  <si>
    <t>I. Működési célú bevételek és kiadások mérlege
(Színház)</t>
  </si>
  <si>
    <t>2.6 melléklet a 2018 évi zárszámodás és beszámolóhoz</t>
  </si>
  <si>
    <t>I. Működési célú bevételek és kiadások mérlege
(Görög Ált. Iskola és Gimnázium)</t>
  </si>
  <si>
    <t>2.9 melléklet a 2018 évi zárszámodás és beszámolóhoz</t>
  </si>
  <si>
    <t>I. Működési célú bevételek és kiadások mérlege
(Önkormányzati szinten)</t>
  </si>
  <si>
    <t xml:space="preserve">Magyarországi Görögök Örszágos Önkormányzat irányítása alá tartozó gazdasági szervezettel nem rendelkező költségvetési szervek létszámadatai </t>
  </si>
  <si>
    <t>Adatok: Forintban</t>
  </si>
  <si>
    <t>Eredeti előizányzat Kötelező feladatok</t>
  </si>
  <si>
    <t>Működési költségvetési kiadások</t>
  </si>
  <si>
    <t>Felhalmozási költségvetési kiadások</t>
  </si>
  <si>
    <t>Költségvetési</t>
  </si>
  <si>
    <t>Munkaadókat</t>
  </si>
  <si>
    <t>Létszám adatok</t>
  </si>
  <si>
    <t xml:space="preserve">Költségvetési szerv </t>
  </si>
  <si>
    <t>kiadások</t>
  </si>
  <si>
    <t>Személyi</t>
  </si>
  <si>
    <t>terhelő</t>
  </si>
  <si>
    <t>Dologi</t>
  </si>
  <si>
    <t>Ellátottak</t>
  </si>
  <si>
    <t>Egyéb</t>
  </si>
  <si>
    <t>Beruházások</t>
  </si>
  <si>
    <t>Felújítások</t>
  </si>
  <si>
    <t>Finanszírozási</t>
  </si>
  <si>
    <t>Működési</t>
  </si>
  <si>
    <t>Felhalmozási</t>
  </si>
  <si>
    <t>megnevezése</t>
  </si>
  <si>
    <t>összesen</t>
  </si>
  <si>
    <t>juttatások</t>
  </si>
  <si>
    <t>járulékok és</t>
  </si>
  <si>
    <t>pénzbeli</t>
  </si>
  <si>
    <t xml:space="preserve">működési </t>
  </si>
  <si>
    <t>felhalmozási</t>
  </si>
  <si>
    <t>célú</t>
  </si>
  <si>
    <t>Ssz.</t>
  </si>
  <si>
    <t>szocilis</t>
  </si>
  <si>
    <t>juttatásai</t>
  </si>
  <si>
    <t>Közelező</t>
  </si>
  <si>
    <t>Önként</t>
  </si>
  <si>
    <t>Állami</t>
  </si>
  <si>
    <t>hozzájárulási</t>
  </si>
  <si>
    <t>Feladat</t>
  </si>
  <si>
    <t>feladat</t>
  </si>
  <si>
    <t xml:space="preserve">      </t>
  </si>
  <si>
    <t>adó</t>
  </si>
  <si>
    <t>fő</t>
  </si>
  <si>
    <t>Fő</t>
  </si>
  <si>
    <t>Önkormányzat összesen:</t>
  </si>
  <si>
    <t>Intézmények összesen:</t>
  </si>
  <si>
    <t>Köznevelési Intézmények összesen:</t>
  </si>
  <si>
    <t>MINDÖSSZESEN:</t>
  </si>
  <si>
    <t>Eredeti Előírányzat Kötelező feladatai</t>
  </si>
  <si>
    <t>Költségvetési bevételek</t>
  </si>
  <si>
    <t>bevételek</t>
  </si>
  <si>
    <t>Közhatalmi</t>
  </si>
  <si>
    <t xml:space="preserve">Felhalmozási </t>
  </si>
  <si>
    <t>Hitelek</t>
  </si>
  <si>
    <t>Értékpapírok</t>
  </si>
  <si>
    <t>Támogatás</t>
  </si>
  <si>
    <t>Kölcsön</t>
  </si>
  <si>
    <t>váltok</t>
  </si>
  <si>
    <t>maradvány</t>
  </si>
  <si>
    <t>irányító szervi</t>
  </si>
  <si>
    <t xml:space="preserve">  </t>
  </si>
  <si>
    <t xml:space="preserve">   </t>
  </si>
  <si>
    <t>átvett</t>
  </si>
  <si>
    <t>felvétel</t>
  </si>
  <si>
    <t>bevételei</t>
  </si>
  <si>
    <t>igénybevétel</t>
  </si>
  <si>
    <t>támogatás</t>
  </si>
  <si>
    <t>Áht belülről</t>
  </si>
  <si>
    <t>pénzeszköz</t>
  </si>
  <si>
    <t>2020 év</t>
  </si>
  <si>
    <t>2021 év</t>
  </si>
  <si>
    <t>2022 év</t>
  </si>
  <si>
    <t>2023 év</t>
  </si>
  <si>
    <t>2/1. sz mellékelt</t>
  </si>
  <si>
    <t>2/2. sz mellékelt</t>
  </si>
  <si>
    <t>2/3. sz mellékelt</t>
  </si>
  <si>
    <t>2/4. sz mellékelt</t>
  </si>
  <si>
    <t>2/8. sz mellékelt</t>
  </si>
  <si>
    <t>2/9. sz mellékelt</t>
  </si>
  <si>
    <t>Önként vállalt feladatok</t>
  </si>
  <si>
    <t>Intézmények kiadásai</t>
  </si>
  <si>
    <t>Működési bevételek</t>
  </si>
  <si>
    <t>Működési kiadások</t>
  </si>
  <si>
    <t>Önkormányzat és Intézményeinek bér kiadások összesen</t>
  </si>
  <si>
    <t>Álományi adatok (fő)</t>
  </si>
  <si>
    <t>Számítástechnikára irányuló szolgáltatás</t>
  </si>
  <si>
    <t>Munkavégzésre irányuló egyéb jogviszony bizottságok</t>
  </si>
  <si>
    <t>Más szakmai tevékenység-vizsgadíj</t>
  </si>
  <si>
    <t>Más egyéb szolgáltatások - diák olimbia</t>
  </si>
  <si>
    <t>Foglalk. egyéb személyi juttat.Jubileumi</t>
  </si>
  <si>
    <t>munkába járás - HÉV, MÁV, BKV</t>
  </si>
  <si>
    <t>Más szakmai tevékenység-felnött oktatás</t>
  </si>
  <si>
    <t>Más szakmai tevékenység-cíkk írás</t>
  </si>
  <si>
    <t>Más szakmai tevékenység-rendezvények</t>
  </si>
  <si>
    <t>Más szakmai tevékenység-Belépő és színházi jegyek</t>
  </si>
  <si>
    <t xml:space="preserve">Szakmai szolgáltatás-Továbbképzés </t>
  </si>
  <si>
    <t>Más szakmai tevékenység-Tábor</t>
  </si>
  <si>
    <t>Szakmai szolgáltatások-EÜ szolgálat</t>
  </si>
  <si>
    <t>Más szakmai tevékenység-Uszás</t>
  </si>
  <si>
    <t xml:space="preserve">Más szakmai tevékenység- Iskola napok kiadásai </t>
  </si>
  <si>
    <t>Más szakmai tevékenység-Óvi foci</t>
  </si>
  <si>
    <t>Más szakmai tevékenység-Tanév nyitó</t>
  </si>
  <si>
    <t>Más egyéb szolgáltatások - osztály kirándulások</t>
  </si>
  <si>
    <t>elnöl</t>
  </si>
  <si>
    <t>Más szakmai tevékenység - Apollon Travel</t>
  </si>
  <si>
    <t>2024 év</t>
  </si>
  <si>
    <t>2020. évi eredeti előirányzat</t>
  </si>
  <si>
    <t>2020. évi módosított előirányzat</t>
  </si>
  <si>
    <t>2020. évi teljesítés</t>
  </si>
  <si>
    <t xml:space="preserve">2020. Évre tervezett Személyi kiadások </t>
  </si>
  <si>
    <t>I. Működési célú bevételek és kiadások mérlege
(Görög Intézet)</t>
  </si>
  <si>
    <t>Működési célú bevételek és kiadások mérlege
Görög Intézet</t>
  </si>
  <si>
    <t>Más egyéb szolgáltatások - Távfelügyelet</t>
  </si>
  <si>
    <t>Más szakmai tevékenységkapcsolatos</t>
  </si>
  <si>
    <t>Budapest, 2020.02.20</t>
  </si>
  <si>
    <t>Magyarországi Görögök Országos Önkormányzata és Intézményeinek 2020 évi Elemi költségvetés</t>
  </si>
  <si>
    <t xml:space="preserve"> 2020. évi bevételi előirányzatai feladatonként</t>
  </si>
  <si>
    <t xml:space="preserve"> 2020. évi kiadási előirányzatai feladatonként</t>
  </si>
  <si>
    <t>5.1 melléklet a 2020 évi zárszámodás és beszámolóhoz</t>
  </si>
  <si>
    <t>5.2 melléklet a 2020 évi zárszámodás és beszámolóhoz</t>
  </si>
  <si>
    <t>5.5 melléklet a 2020 évi zárszámodás és beszámolóhoz</t>
  </si>
  <si>
    <t>5.6 melléklet a 2020 évi zárszámodás és beszámolóhoz</t>
  </si>
  <si>
    <t>5.4 melléklet a 2020 évi zárszámodás és beszámolóhoz</t>
  </si>
  <si>
    <t>5.3 melléklet a 2020 évi zárszámodás és beszámolóhoz</t>
  </si>
  <si>
    <t>5. melléklet a 2020 évi zárszámodás és beszámolóhoz</t>
  </si>
</sst>
</file>

<file path=xl/styles.xml><?xml version="1.0" encoding="utf-8"?>
<styleSheet xmlns="http://schemas.openxmlformats.org/spreadsheetml/2006/main">
  <numFmts count="3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0\ &quot;HUF&quot;;\-#,##0\ &quot;HUF&quot;"/>
    <numFmt numFmtId="167" formatCode="#,##0\ &quot;HUF&quot;;[Red]\-#,##0\ &quot;HUF&quot;"/>
    <numFmt numFmtId="168" formatCode="#,##0.00\ &quot;HUF&quot;;\-#,##0.00\ &quot;HUF&quot;"/>
    <numFmt numFmtId="169" formatCode="#,##0.00\ &quot;HUF&quot;;[Red]\-#,##0.00\ &quot;HUF&quot;"/>
    <numFmt numFmtId="170" formatCode="_-* #,##0\ &quot;HUF&quot;_-;\-* #,##0\ &quot;HUF&quot;_-;_-* &quot;-&quot;\ &quot;HUF&quot;_-;_-@_-"/>
    <numFmt numFmtId="171" formatCode="_-* #,##0\ _H_U_F_-;\-* #,##0\ _H_U_F_-;_-* &quot;-&quot;\ _H_U_F_-;_-@_-"/>
    <numFmt numFmtId="172" formatCode="_-* #,##0.00\ &quot;HUF&quot;_-;\-* #,##0.00\ &quot;HUF&quot;_-;_-* &quot;-&quot;??\ &quot;HUF&quot;_-;_-@_-"/>
    <numFmt numFmtId="173" formatCode="_-* #,##0.00\ _H_U_F_-;\-* #,##0.00\ _H_U_F_-;_-* &quot;-&quot;??\ _H_U_F_-;_-@_-"/>
    <numFmt numFmtId="174" formatCode="0.0%"/>
    <numFmt numFmtId="175" formatCode="0.0"/>
    <numFmt numFmtId="176" formatCode="0.00000"/>
    <numFmt numFmtId="177" formatCode="0.0000"/>
    <numFmt numFmtId="178" formatCode="0.000"/>
    <numFmt numFmtId="179" formatCode="#,##0.0"/>
    <numFmt numFmtId="180" formatCode="#,##0.000"/>
    <numFmt numFmtId="181" formatCode="[$-40E]yyyy\.\ mmmm\ d\."/>
    <numFmt numFmtId="182" formatCode="#,##0.0000"/>
    <numFmt numFmtId="183" formatCode="&quot;Igen&quot;;&quot;Igen&quot;;&quot;Nem&quot;"/>
    <numFmt numFmtId="184" formatCode="&quot;Igaz&quot;;&quot;Igaz&quot;;&quot;Hamis&quot;"/>
    <numFmt numFmtId="185" formatCode="&quot;Be&quot;;&quot;Be&quot;;&quot;Ki&quot;"/>
    <numFmt numFmtId="186" formatCode="[$€-2]\ #\ ##,000_);[Red]\([$€-2]\ #\ ##,000\)"/>
    <numFmt numFmtId="187" formatCode="#,##0.000000"/>
    <numFmt numFmtId="188" formatCode="#,##0.0000000"/>
    <numFmt numFmtId="189" formatCode="00"/>
    <numFmt numFmtId="190" formatCode="\ ##########"/>
    <numFmt numFmtId="191" formatCode="0__"/>
    <numFmt numFmtId="192" formatCode="#,###"/>
  </numFmts>
  <fonts count="131">
    <font>
      <sz val="11"/>
      <color theme="1"/>
      <name val="Calibri"/>
      <family val="2"/>
    </font>
    <font>
      <sz val="11"/>
      <color indexed="8"/>
      <name val="Calibri"/>
      <family val="2"/>
    </font>
    <font>
      <sz val="11"/>
      <name val="Times New Roman"/>
      <family val="1"/>
    </font>
    <font>
      <i/>
      <sz val="10"/>
      <name val="Times New Roman"/>
      <family val="1"/>
    </font>
    <font>
      <b/>
      <sz val="9"/>
      <name val="Tahoma"/>
      <family val="2"/>
    </font>
    <font>
      <sz val="9"/>
      <name val="Tahoma"/>
      <family val="2"/>
    </font>
    <font>
      <sz val="10"/>
      <name val="Times New Roman"/>
      <family val="1"/>
    </font>
    <font>
      <b/>
      <sz val="11"/>
      <name val="Times New Roman"/>
      <family val="1"/>
    </font>
    <font>
      <i/>
      <sz val="11"/>
      <name val="Times New Roman"/>
      <family val="2"/>
    </font>
    <font>
      <sz val="10"/>
      <name val="Arial CE"/>
      <family val="0"/>
    </font>
    <font>
      <b/>
      <sz val="10"/>
      <color indexed="8"/>
      <name val="Arial"/>
      <family val="2"/>
    </font>
    <font>
      <sz val="10"/>
      <color indexed="8"/>
      <name val="Arial"/>
      <family val="2"/>
    </font>
    <font>
      <sz val="10"/>
      <name val="Arial"/>
      <family val="2"/>
    </font>
    <font>
      <b/>
      <sz val="10"/>
      <name val="Arial"/>
      <family val="2"/>
    </font>
    <font>
      <i/>
      <sz val="10"/>
      <color indexed="8"/>
      <name val="Arial"/>
      <family val="2"/>
    </font>
    <font>
      <b/>
      <i/>
      <sz val="10"/>
      <color indexed="8"/>
      <name val="Arial"/>
      <family val="2"/>
    </font>
    <font>
      <b/>
      <i/>
      <sz val="10"/>
      <name val="Arial"/>
      <family val="2"/>
    </font>
    <font>
      <i/>
      <sz val="10"/>
      <name val="Arial"/>
      <family val="2"/>
    </font>
    <font>
      <b/>
      <sz val="17.5"/>
      <name val="MS Sans Serif"/>
      <family val="2"/>
    </font>
    <font>
      <b/>
      <sz val="10"/>
      <name val="MS Sans Serif"/>
      <family val="2"/>
    </font>
    <font>
      <b/>
      <sz val="12"/>
      <name val="MS Sans Serif"/>
      <family val="2"/>
    </font>
    <font>
      <sz val="12"/>
      <name val="MS Sans Serif"/>
      <family val="2"/>
    </font>
    <font>
      <sz val="10"/>
      <name val="MS Sans Serif"/>
      <family val="2"/>
    </font>
    <font>
      <b/>
      <i/>
      <sz val="11"/>
      <name val="Times New Roman"/>
      <family val="2"/>
    </font>
    <font>
      <b/>
      <i/>
      <sz val="10"/>
      <name val="Times New Roman"/>
      <family val="2"/>
    </font>
    <font>
      <b/>
      <sz val="12"/>
      <color indexed="8"/>
      <name val="Arial"/>
      <family val="2"/>
    </font>
    <font>
      <b/>
      <sz val="16"/>
      <color indexed="8"/>
      <name val="Arial"/>
      <family val="2"/>
    </font>
    <font>
      <sz val="16"/>
      <name val="Arial CE"/>
      <family val="0"/>
    </font>
    <font>
      <b/>
      <sz val="8"/>
      <name val="Times New Roman"/>
      <family val="1"/>
    </font>
    <font>
      <b/>
      <sz val="12"/>
      <name val="Times New Roman CE"/>
      <family val="1"/>
    </font>
    <font>
      <i/>
      <sz val="10"/>
      <name val="Times New Roman CE"/>
      <family val="0"/>
    </font>
    <font>
      <b/>
      <sz val="10"/>
      <name val="Times New Roman CE"/>
      <family val="1"/>
    </font>
    <font>
      <b/>
      <sz val="9"/>
      <name val="Times New Roman CE"/>
      <family val="0"/>
    </font>
    <font>
      <b/>
      <sz val="8"/>
      <name val="Times New Roman CE"/>
      <family val="0"/>
    </font>
    <font>
      <sz val="8"/>
      <name val="Times New Roman CE"/>
      <family val="1"/>
    </font>
    <font>
      <sz val="8"/>
      <name val="Times New Roman"/>
      <family val="1"/>
    </font>
    <font>
      <sz val="8"/>
      <color indexed="8"/>
      <name val="Times New Roman"/>
      <family val="1"/>
    </font>
    <font>
      <sz val="10"/>
      <name val="Times New Roman CE"/>
      <family val="0"/>
    </font>
    <font>
      <b/>
      <sz val="10"/>
      <name val="Times New Roman"/>
      <family val="1"/>
    </font>
    <font>
      <sz val="5"/>
      <name val="Times New Roman"/>
      <family val="1"/>
    </font>
    <font>
      <sz val="9"/>
      <name val="Times New Roman"/>
      <family val="1"/>
    </font>
    <font>
      <b/>
      <sz val="9"/>
      <name val="Times New Roman"/>
      <family val="1"/>
    </font>
    <font>
      <sz val="7"/>
      <name val="Times New Roman"/>
      <family val="1"/>
    </font>
    <font>
      <b/>
      <sz val="7"/>
      <name val="Times New Roman"/>
      <family val="1"/>
    </font>
    <font>
      <sz val="8"/>
      <color indexed="10"/>
      <name val="Times New Roman"/>
      <family val="1"/>
    </font>
    <font>
      <b/>
      <i/>
      <sz val="10"/>
      <name val="MS Sans Serif"/>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2"/>
      <color indexed="8"/>
      <name val="Calibri"/>
      <family val="2"/>
    </font>
    <font>
      <sz val="11"/>
      <name val="Calibri"/>
      <family val="2"/>
    </font>
    <font>
      <i/>
      <sz val="11"/>
      <name val="Calibri"/>
      <family val="2"/>
    </font>
    <font>
      <b/>
      <sz val="11"/>
      <name val="Calibri"/>
      <family val="2"/>
    </font>
    <font>
      <b/>
      <i/>
      <sz val="11"/>
      <name val="Calibri"/>
      <family val="2"/>
    </font>
    <font>
      <b/>
      <sz val="16"/>
      <color indexed="8"/>
      <name val="Calibri"/>
      <family val="2"/>
    </font>
    <font>
      <sz val="11"/>
      <color indexed="30"/>
      <name val="Calibri"/>
      <family val="2"/>
    </font>
    <font>
      <b/>
      <i/>
      <sz val="11"/>
      <color indexed="8"/>
      <name val="Calibri"/>
      <family val="2"/>
    </font>
    <font>
      <b/>
      <i/>
      <sz val="11"/>
      <color indexed="30"/>
      <name val="Calibri"/>
      <family val="2"/>
    </font>
    <font>
      <i/>
      <sz val="11"/>
      <color indexed="8"/>
      <name val="Calibri"/>
      <family val="2"/>
    </font>
    <font>
      <b/>
      <i/>
      <sz val="11"/>
      <color indexed="17"/>
      <name val="Calibri"/>
      <family val="2"/>
    </font>
    <font>
      <b/>
      <sz val="11"/>
      <color indexed="17"/>
      <name val="Calibri"/>
      <family val="2"/>
    </font>
    <font>
      <sz val="12"/>
      <color indexed="8"/>
      <name val="Times"/>
      <family val="0"/>
    </font>
    <font>
      <b/>
      <sz val="12"/>
      <color indexed="8"/>
      <name val="Times"/>
      <family val="0"/>
    </font>
    <font>
      <sz val="12"/>
      <color indexed="8"/>
      <name val="Calibri"/>
      <family val="2"/>
    </font>
    <font>
      <i/>
      <sz val="10"/>
      <color indexed="8"/>
      <name val="Calibri"/>
      <family val="2"/>
    </font>
    <font>
      <i/>
      <sz val="12"/>
      <color indexed="8"/>
      <name val="Calibri"/>
      <family val="2"/>
    </font>
    <font>
      <sz val="11"/>
      <color indexed="36"/>
      <name val="Calibri"/>
      <family val="2"/>
    </font>
    <font>
      <b/>
      <sz val="12"/>
      <color indexed="36"/>
      <name val="Calibri"/>
      <family val="2"/>
    </font>
    <font>
      <b/>
      <sz val="11"/>
      <color indexed="36"/>
      <name val="Calibri"/>
      <family val="2"/>
    </font>
    <font>
      <i/>
      <sz val="10"/>
      <name val="Calibri"/>
      <family val="2"/>
    </font>
    <font>
      <sz val="10"/>
      <name val="Calibri"/>
      <family val="2"/>
    </font>
    <font>
      <b/>
      <i/>
      <sz val="10"/>
      <name val="Calibri"/>
      <family val="2"/>
    </font>
    <font>
      <i/>
      <sz val="10"/>
      <color indexed="10"/>
      <name val="Times New Roman"/>
      <family val="2"/>
    </font>
    <font>
      <sz val="11"/>
      <color indexed="10"/>
      <name val="Times New Roman"/>
      <family val="2"/>
    </font>
    <font>
      <b/>
      <sz val="10"/>
      <color indexed="30"/>
      <name val="Times New Roman CE"/>
      <family val="0"/>
    </font>
    <font>
      <b/>
      <sz val="11"/>
      <color indexed="30"/>
      <name val="Times New Roman"/>
      <family val="2"/>
    </font>
    <font>
      <i/>
      <u val="single"/>
      <sz val="12"/>
      <color indexed="8"/>
      <name val="Times"/>
      <family val="0"/>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2"/>
      <color theme="1"/>
      <name val="Calibri"/>
      <family val="2"/>
    </font>
    <font>
      <b/>
      <sz val="10"/>
      <color theme="1"/>
      <name val="Arial"/>
      <family val="2"/>
    </font>
    <font>
      <b/>
      <sz val="16"/>
      <color theme="1"/>
      <name val="Calibri"/>
      <family val="2"/>
    </font>
    <font>
      <sz val="11"/>
      <color rgb="FF0070C0"/>
      <name val="Calibri"/>
      <family val="2"/>
    </font>
    <font>
      <sz val="11"/>
      <color rgb="FF00B050"/>
      <name val="Calibri"/>
      <family val="2"/>
    </font>
    <font>
      <b/>
      <i/>
      <sz val="11"/>
      <color theme="1"/>
      <name val="Calibri"/>
      <family val="2"/>
    </font>
    <font>
      <b/>
      <i/>
      <sz val="11"/>
      <color rgb="FF0070C0"/>
      <name val="Calibri"/>
      <family val="2"/>
    </font>
    <font>
      <i/>
      <sz val="11"/>
      <color theme="1"/>
      <name val="Calibri"/>
      <family val="2"/>
    </font>
    <font>
      <b/>
      <i/>
      <sz val="11"/>
      <color rgb="FF00B050"/>
      <name val="Calibri"/>
      <family val="2"/>
    </font>
    <font>
      <b/>
      <sz val="11"/>
      <color rgb="FF00B050"/>
      <name val="Calibri"/>
      <family val="2"/>
    </font>
    <font>
      <sz val="12"/>
      <color rgb="FF000000"/>
      <name val="Times"/>
      <family val="0"/>
    </font>
    <font>
      <b/>
      <sz val="12"/>
      <color rgb="FF000000"/>
      <name val="Times"/>
      <family val="0"/>
    </font>
    <font>
      <sz val="12"/>
      <color theme="1"/>
      <name val="Calibri"/>
      <family val="2"/>
    </font>
    <font>
      <i/>
      <sz val="10"/>
      <color theme="1"/>
      <name val="Calibri"/>
      <family val="2"/>
    </font>
    <font>
      <i/>
      <sz val="12"/>
      <color theme="1"/>
      <name val="Calibri"/>
      <family val="2"/>
    </font>
    <font>
      <sz val="11"/>
      <color rgb="FF7030A0"/>
      <name val="Calibri"/>
      <family val="2"/>
    </font>
    <font>
      <b/>
      <sz val="12"/>
      <color rgb="FF7030A0"/>
      <name val="Calibri"/>
      <family val="2"/>
    </font>
    <font>
      <b/>
      <sz val="11"/>
      <color rgb="FF7030A0"/>
      <name val="Calibri"/>
      <family val="2"/>
    </font>
    <font>
      <i/>
      <sz val="10"/>
      <color rgb="FFFF0000"/>
      <name val="Times New Roman"/>
      <family val="2"/>
    </font>
    <font>
      <sz val="11"/>
      <color rgb="FFFF0000"/>
      <name val="Times New Roman"/>
      <family val="2"/>
    </font>
    <font>
      <b/>
      <sz val="10"/>
      <color rgb="FF0070C0"/>
      <name val="Times New Roman CE"/>
      <family val="0"/>
    </font>
    <font>
      <sz val="8"/>
      <color theme="1"/>
      <name val="Times New Roman"/>
      <family val="1"/>
    </font>
    <font>
      <b/>
      <sz val="11"/>
      <color rgb="FF0070C0"/>
      <name val="Times New Roman"/>
      <family val="2"/>
    </font>
    <font>
      <i/>
      <u val="single"/>
      <sz val="12"/>
      <color rgb="FF000000"/>
      <name val="Times"/>
      <family val="0"/>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indexed="9"/>
        <bgColor indexed="64"/>
      </patternFill>
    </fill>
    <fill>
      <patternFill patternType="solid">
        <fgColor theme="2" tint="-0.09996999800205231"/>
        <bgColor indexed="64"/>
      </patternFill>
    </fill>
    <fill>
      <patternFill patternType="solid">
        <fgColor rgb="FFFFFFE0"/>
        <bgColor indexed="64"/>
      </patternFill>
    </fill>
    <fill>
      <patternFill patternType="solid">
        <fgColor theme="0" tint="-0.1499900072813034"/>
        <bgColor indexed="64"/>
      </patternFill>
    </fill>
    <fill>
      <patternFill patternType="solid">
        <fgColor rgb="FFFFFFFF"/>
        <bgColor indexed="64"/>
      </patternFill>
    </fill>
    <fill>
      <patternFill patternType="solid">
        <fgColor indexed="9"/>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A9A9A9"/>
      </left>
      <right style="thin">
        <color rgb="FFA9A9A9"/>
      </right>
      <top style="thin">
        <color rgb="FFA9A9A9"/>
      </top>
      <bottom style="thin">
        <color rgb="FFA9A9A9"/>
      </bottom>
    </border>
    <border>
      <left style="thin"/>
      <right/>
      <top style="thin"/>
      <bottom style="thin"/>
    </border>
    <border>
      <left>
        <color indexed="63"/>
      </left>
      <right>
        <color indexed="63"/>
      </right>
      <top>
        <color indexed="63"/>
      </top>
      <bottom style="medium">
        <color rgb="FF000000"/>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style="medium">
        <color rgb="FF000000"/>
      </left>
      <right style="medium">
        <color rgb="FF000000"/>
      </right>
      <top style="medium">
        <color rgb="FF000000"/>
      </top>
      <bottom style="medium">
        <color rgb="FF000000"/>
      </bottom>
    </border>
    <border>
      <left style="thin"/>
      <right>
        <color indexed="63"/>
      </right>
      <top style="thin"/>
      <bottom>
        <color indexed="63"/>
      </bottom>
    </border>
    <border>
      <left>
        <color indexed="63"/>
      </left>
      <right>
        <color indexed="63"/>
      </right>
      <top style="thin"/>
      <bottom>
        <color indexed="63"/>
      </bottom>
    </border>
    <border>
      <left/>
      <right style="thin"/>
      <top style="thin"/>
      <bottom/>
    </border>
    <border>
      <left style="thin"/>
      <right>
        <color indexed="63"/>
      </right>
      <top>
        <color indexed="63"/>
      </top>
      <bottom style="thin"/>
    </border>
    <border>
      <left>
        <color indexed="63"/>
      </left>
      <right>
        <color indexed="63"/>
      </right>
      <top>
        <color indexed="63"/>
      </top>
      <bottom style="thin">
        <color rgb="FFA9A9A9"/>
      </bottom>
    </border>
    <border>
      <left>
        <color indexed="63"/>
      </left>
      <right style="thin">
        <color rgb="FFA9A9A9"/>
      </right>
      <top style="thin">
        <color rgb="FFA9A9A9"/>
      </top>
      <bottom style="thin">
        <color rgb="FFA9A9A9"/>
      </bottom>
    </border>
    <border>
      <left style="thin">
        <color rgb="FFA9A9A9"/>
      </left>
      <right style="thin">
        <color rgb="FFA9A9A9"/>
      </right>
      <top>
        <color indexed="63"/>
      </top>
      <bottom style="thin">
        <color rgb="FFA9A9A9"/>
      </bottom>
    </border>
    <border>
      <left>
        <color indexed="63"/>
      </left>
      <right>
        <color indexed="63"/>
      </right>
      <top style="thin">
        <color rgb="FFA9A9A9"/>
      </top>
      <bottom style="thin">
        <color rgb="FFA9A9A9"/>
      </bottom>
    </border>
    <border>
      <left style="thin">
        <color rgb="FFA9A9A9"/>
      </left>
      <right>
        <color indexed="63"/>
      </right>
      <top style="thin">
        <color rgb="FFA9A9A9"/>
      </top>
      <bottom style="thin">
        <color rgb="FFA9A9A9"/>
      </bottom>
    </border>
    <border>
      <left style="thin"/>
      <right style="thin"/>
      <top>
        <color indexed="63"/>
      </top>
      <bottom>
        <color indexed="63"/>
      </bottom>
    </border>
    <border>
      <left style="thin">
        <color rgb="FFA9A9A9"/>
      </left>
      <right style="thin">
        <color rgb="FFA9A9A9"/>
      </right>
      <top>
        <color indexed="63"/>
      </top>
      <bottom>
        <color indexed="63"/>
      </bottom>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style="medium"/>
      <top style="thin"/>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color indexed="63"/>
      </top>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style="medium"/>
      <top>
        <color indexed="63"/>
      </top>
      <bottom>
        <color indexed="63"/>
      </bottom>
    </border>
    <border>
      <left/>
      <right/>
      <top style="medium"/>
      <bottom style="medium"/>
    </border>
    <border>
      <left>
        <color indexed="63"/>
      </left>
      <right>
        <color indexed="63"/>
      </right>
      <top>
        <color indexed="63"/>
      </top>
      <bottom style="thin"/>
    </border>
    <border>
      <left style="medium"/>
      <right style="medium"/>
      <top style="medium"/>
      <bottom>
        <color indexed="63"/>
      </bottom>
    </border>
    <border>
      <left style="medium"/>
      <right>
        <color indexed="63"/>
      </right>
      <top style="medium"/>
      <bottom>
        <color indexed="63"/>
      </bottom>
    </border>
    <border>
      <left style="medium"/>
      <right/>
      <top style="medium"/>
      <bottom style="medium"/>
    </border>
    <border>
      <left>
        <color indexed="63"/>
      </left>
      <right style="medium"/>
      <top style="medium"/>
      <bottom style="medium"/>
    </border>
    <border>
      <left/>
      <right/>
      <top style="medium"/>
      <bottom/>
    </border>
    <border>
      <left/>
      <right style="medium"/>
      <top style="medium"/>
      <bottom/>
    </border>
    <border>
      <left style="thin"/>
      <right style="medium"/>
      <top style="medium"/>
      <bottom/>
    </border>
    <border>
      <left>
        <color indexed="63"/>
      </left>
      <right style="medium"/>
      <top>
        <color indexed="63"/>
      </top>
      <bottom>
        <color indexed="63"/>
      </bottom>
    </border>
    <border>
      <left style="thin"/>
      <right style="thin"/>
      <top style="medium"/>
      <bottom/>
    </border>
    <border>
      <left style="thin"/>
      <right>
        <color indexed="63"/>
      </right>
      <top style="medium"/>
      <bottom>
        <color indexed="63"/>
      </bottom>
    </border>
    <border>
      <left style="thin"/>
      <right style="medium"/>
      <top>
        <color indexed="63"/>
      </top>
      <bottom>
        <color indexed="63"/>
      </bottom>
    </border>
    <border>
      <left style="thin"/>
      <right>
        <color indexed="63"/>
      </right>
      <top>
        <color indexed="63"/>
      </top>
      <bottom>
        <color indexed="63"/>
      </bottom>
    </border>
    <border>
      <left/>
      <right/>
      <top/>
      <bottom style="medium"/>
    </border>
    <border>
      <left/>
      <right style="medium"/>
      <top/>
      <bottom style="medium"/>
    </border>
    <border>
      <left style="medium"/>
      <right style="medium"/>
      <top>
        <color indexed="63"/>
      </top>
      <bottom style="medium"/>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medium"/>
      <right>
        <color indexed="63"/>
      </right>
      <top style="thin"/>
      <bottom style="thin"/>
    </border>
    <border>
      <left/>
      <right style="thin"/>
      <top/>
      <bottom style="thin"/>
    </border>
    <border>
      <left style="medium"/>
      <right/>
      <top style="thin"/>
      <bottom/>
    </border>
    <border>
      <left style="medium"/>
      <right style="thin"/>
      <top style="thin"/>
      <bottom style="medium"/>
    </border>
    <border>
      <left style="thin"/>
      <right style="medium"/>
      <top style="thin"/>
      <bottom style="medium"/>
    </border>
    <border>
      <left>
        <color indexed="63"/>
      </left>
      <right style="medium"/>
      <top style="thin"/>
      <bottom style="thin"/>
    </border>
    <border>
      <left style="medium"/>
      <right/>
      <top/>
      <bottom style="thin"/>
    </border>
    <border>
      <left style="thin"/>
      <right style="thin"/>
      <top style="thin"/>
      <bottom style="medium"/>
    </border>
    <border>
      <left>
        <color indexed="63"/>
      </left>
      <right>
        <color indexed="63"/>
      </right>
      <top style="thin"/>
      <bottom style="thin"/>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1" fillId="20" borderId="1" applyNumberFormat="0" applyAlignment="0" applyProtection="0"/>
    <xf numFmtId="0" fontId="92" fillId="0" borderId="0" applyNumberFormat="0" applyFill="0" applyBorder="0" applyAlignment="0" applyProtection="0"/>
    <xf numFmtId="0" fontId="93" fillId="0" borderId="2" applyNumberFormat="0" applyFill="0" applyAlignment="0" applyProtection="0"/>
    <xf numFmtId="0" fontId="94" fillId="0" borderId="3" applyNumberFormat="0" applyFill="0" applyAlignment="0" applyProtection="0"/>
    <xf numFmtId="0" fontId="95" fillId="0" borderId="4" applyNumberFormat="0" applyFill="0" applyAlignment="0" applyProtection="0"/>
    <xf numFmtId="0" fontId="95" fillId="0" borderId="0" applyNumberFormat="0" applyFill="0" applyBorder="0" applyAlignment="0" applyProtection="0"/>
    <xf numFmtId="0" fontId="96" fillId="21" borderId="5"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97" fillId="0" borderId="0" applyNumberFormat="0" applyFill="0" applyBorder="0" applyAlignment="0" applyProtection="0"/>
    <xf numFmtId="0" fontId="98" fillId="0" borderId="6" applyNumberFormat="0" applyFill="0" applyAlignment="0" applyProtection="0"/>
    <xf numFmtId="0" fontId="0" fillId="22" borderId="7" applyNumberFormat="0" applyFont="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90" fillId="27" borderId="0" applyNumberFormat="0" applyBorder="0" applyAlignment="0" applyProtection="0"/>
    <xf numFmtId="0" fontId="90" fillId="28" borderId="0" applyNumberFormat="0" applyBorder="0" applyAlignment="0" applyProtection="0"/>
    <xf numFmtId="0" fontId="99" fillId="29" borderId="0" applyNumberFormat="0" applyBorder="0" applyAlignment="0" applyProtection="0"/>
    <xf numFmtId="0" fontId="100" fillId="30" borderId="8" applyNumberFormat="0" applyAlignment="0" applyProtection="0"/>
    <xf numFmtId="0" fontId="101" fillId="0" borderId="0" applyNumberFormat="0" applyFill="0" applyBorder="0" applyAlignment="0" applyProtection="0"/>
    <xf numFmtId="0" fontId="9" fillId="0" borderId="0">
      <alignment/>
      <protection/>
    </xf>
    <xf numFmtId="0" fontId="12" fillId="0" borderId="0">
      <alignment/>
      <protection/>
    </xf>
    <xf numFmtId="0" fontId="10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3" fillId="31" borderId="0" applyNumberFormat="0" applyBorder="0" applyAlignment="0" applyProtection="0"/>
    <xf numFmtId="0" fontId="104" fillId="32" borderId="0" applyNumberFormat="0" applyBorder="0" applyAlignment="0" applyProtection="0"/>
    <xf numFmtId="0" fontId="105" fillId="30" borderId="1"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6">
    <xf numFmtId="0" fontId="0" fillId="0" borderId="0" xfId="0" applyFont="1" applyAlignment="1">
      <alignment/>
    </xf>
    <xf numFmtId="0" fontId="0" fillId="0" borderId="0" xfId="0" applyAlignment="1">
      <alignment/>
    </xf>
    <xf numFmtId="3" fontId="0" fillId="0" borderId="0" xfId="0" applyNumberFormat="1" applyAlignment="1">
      <alignment/>
    </xf>
    <xf numFmtId="0" fontId="102" fillId="0" borderId="0" xfId="0" applyFont="1" applyAlignment="1">
      <alignment/>
    </xf>
    <xf numFmtId="0" fontId="106" fillId="0" borderId="0" xfId="0" applyFont="1" applyAlignment="1">
      <alignment/>
    </xf>
    <xf numFmtId="0" fontId="63" fillId="33" borderId="0" xfId="0" applyNumberFormat="1" applyFont="1" applyFill="1" applyBorder="1" applyAlignment="1" applyProtection="1">
      <alignment/>
      <protection/>
    </xf>
    <xf numFmtId="0" fontId="63" fillId="0" borderId="0" xfId="0" applyNumberFormat="1" applyFont="1" applyFill="1" applyBorder="1" applyAlignment="1" applyProtection="1">
      <alignment/>
      <protection/>
    </xf>
    <xf numFmtId="0" fontId="64" fillId="0" borderId="0" xfId="0" applyNumberFormat="1" applyFont="1" applyFill="1" applyBorder="1" applyAlignment="1" applyProtection="1">
      <alignment/>
      <protection/>
    </xf>
    <xf numFmtId="3" fontId="0" fillId="0" borderId="10" xfId="0" applyNumberFormat="1" applyBorder="1" applyAlignment="1">
      <alignment/>
    </xf>
    <xf numFmtId="0" fontId="65" fillId="33" borderId="0" xfId="0" applyNumberFormat="1" applyFont="1" applyFill="1" applyBorder="1" applyAlignment="1" applyProtection="1">
      <alignment/>
      <protection/>
    </xf>
    <xf numFmtId="0" fontId="65" fillId="0" borderId="0" xfId="0" applyNumberFormat="1" applyFont="1" applyFill="1" applyBorder="1" applyAlignment="1" applyProtection="1">
      <alignment/>
      <protection/>
    </xf>
    <xf numFmtId="3" fontId="2" fillId="33" borderId="11" xfId="0" applyNumberFormat="1" applyFont="1" applyFill="1" applyBorder="1" applyAlignment="1" applyProtection="1">
      <alignment horizontal="right" vertical="center" wrapText="1"/>
      <protection/>
    </xf>
    <xf numFmtId="49" fontId="63" fillId="0" borderId="0" xfId="0" applyNumberFormat="1" applyFont="1" applyFill="1" applyBorder="1" applyAlignment="1" applyProtection="1">
      <alignment/>
      <protection/>
    </xf>
    <xf numFmtId="3" fontId="63" fillId="0" borderId="0" xfId="0" applyNumberFormat="1" applyFont="1" applyFill="1" applyBorder="1" applyAlignment="1" applyProtection="1">
      <alignment/>
      <protection/>
    </xf>
    <xf numFmtId="3" fontId="63" fillId="33" borderId="0" xfId="0" applyNumberFormat="1" applyFont="1" applyFill="1" applyBorder="1" applyAlignment="1" applyProtection="1">
      <alignment/>
      <protection/>
    </xf>
    <xf numFmtId="0" fontId="66" fillId="0" borderId="0" xfId="0" applyNumberFormat="1" applyFont="1" applyFill="1" applyBorder="1" applyAlignment="1" applyProtection="1">
      <alignment/>
      <protection/>
    </xf>
    <xf numFmtId="0" fontId="11" fillId="0" borderId="0" xfId="54" applyFont="1" applyFill="1">
      <alignment/>
      <protection/>
    </xf>
    <xf numFmtId="189" fontId="11" fillId="0" borderId="0" xfId="54" applyNumberFormat="1" applyFont="1" applyFill="1" applyBorder="1" applyAlignment="1">
      <alignment horizontal="center" wrapText="1"/>
      <protection/>
    </xf>
    <xf numFmtId="0" fontId="12" fillId="0" borderId="0" xfId="54" applyFont="1" applyBorder="1" applyAlignment="1">
      <alignment/>
      <protection/>
    </xf>
    <xf numFmtId="3" fontId="12" fillId="0" borderId="0" xfId="54" applyNumberFormat="1" applyFont="1" applyBorder="1" applyAlignment="1">
      <alignment/>
      <protection/>
    </xf>
    <xf numFmtId="189" fontId="11" fillId="0" borderId="0" xfId="54" applyNumberFormat="1" applyFont="1" applyFill="1" applyBorder="1" applyAlignment="1">
      <alignment horizontal="center"/>
      <protection/>
    </xf>
    <xf numFmtId="189" fontId="10" fillId="13" borderId="10" xfId="54" applyNumberFormat="1" applyFont="1" applyFill="1" applyBorder="1" applyAlignment="1">
      <alignment horizontal="center" vertical="center" wrapText="1"/>
      <protection/>
    </xf>
    <xf numFmtId="0" fontId="10" fillId="13" borderId="10" xfId="54" applyFont="1" applyFill="1" applyBorder="1" applyAlignment="1">
      <alignment horizontal="center" vertical="center"/>
      <protection/>
    </xf>
    <xf numFmtId="0" fontId="10" fillId="13" borderId="10" xfId="54" applyFont="1" applyFill="1" applyBorder="1" applyAlignment="1">
      <alignment horizontal="center" vertical="center" wrapText="1"/>
      <protection/>
    </xf>
    <xf numFmtId="3" fontId="13" fillId="13" borderId="10" xfId="54" applyNumberFormat="1" applyFont="1" applyFill="1" applyBorder="1" applyAlignment="1">
      <alignment horizontal="center" vertical="center" wrapText="1"/>
      <protection/>
    </xf>
    <xf numFmtId="189" fontId="14" fillId="0" borderId="10" xfId="54" applyNumberFormat="1" applyFont="1" applyFill="1" applyBorder="1" applyAlignment="1" quotePrefix="1">
      <alignment horizontal="center" vertical="center"/>
      <protection/>
    </xf>
    <xf numFmtId="0" fontId="14" fillId="0" borderId="10" xfId="54" applyFont="1" applyFill="1" applyBorder="1" applyAlignment="1">
      <alignment vertical="center"/>
      <protection/>
    </xf>
    <xf numFmtId="0" fontId="14" fillId="0" borderId="10" xfId="54" applyNumberFormat="1" applyFont="1" applyFill="1" applyBorder="1" applyAlignment="1">
      <alignment vertical="center"/>
      <protection/>
    </xf>
    <xf numFmtId="3" fontId="14" fillId="0" borderId="10" xfId="54" applyNumberFormat="1" applyFont="1" applyFill="1" applyBorder="1" applyAlignment="1">
      <alignment horizontal="right" vertical="center"/>
      <protection/>
    </xf>
    <xf numFmtId="0" fontId="14" fillId="0" borderId="0" xfId="54" applyFont="1" applyFill="1">
      <alignment/>
      <protection/>
    </xf>
    <xf numFmtId="190" fontId="14" fillId="0" borderId="10" xfId="54" applyNumberFormat="1" applyFont="1" applyFill="1" applyBorder="1" applyAlignment="1">
      <alignment vertical="center"/>
      <protection/>
    </xf>
    <xf numFmtId="0" fontId="14" fillId="0" borderId="10" xfId="54" applyFont="1" applyFill="1" applyBorder="1" applyAlignment="1">
      <alignment vertical="center" wrapText="1"/>
      <protection/>
    </xf>
    <xf numFmtId="0" fontId="14" fillId="0" borderId="10" xfId="54" applyFont="1" applyFill="1" applyBorder="1" applyAlignment="1">
      <alignment horizontal="left" vertical="center" wrapText="1"/>
      <protection/>
    </xf>
    <xf numFmtId="0" fontId="14" fillId="0" borderId="0" xfId="54" applyFont="1" applyFill="1" applyBorder="1">
      <alignment/>
      <protection/>
    </xf>
    <xf numFmtId="0" fontId="14" fillId="0" borderId="10" xfId="54" applyFont="1" applyFill="1" applyBorder="1" applyAlignment="1">
      <alignment horizontal="left" vertical="center"/>
      <protection/>
    </xf>
    <xf numFmtId="189" fontId="10" fillId="10" borderId="10" xfId="54" applyNumberFormat="1" applyFont="1" applyFill="1" applyBorder="1" applyAlignment="1" quotePrefix="1">
      <alignment horizontal="center" vertical="center"/>
      <protection/>
    </xf>
    <xf numFmtId="0" fontId="10" fillId="10" borderId="10" xfId="54" applyFont="1" applyFill="1" applyBorder="1" applyAlignment="1">
      <alignment vertical="center" wrapText="1"/>
      <protection/>
    </xf>
    <xf numFmtId="190" fontId="10" fillId="10" borderId="10" xfId="54" applyNumberFormat="1" applyFont="1" applyFill="1" applyBorder="1" applyAlignment="1">
      <alignment vertical="center"/>
      <protection/>
    </xf>
    <xf numFmtId="3" fontId="13" fillId="10" borderId="12" xfId="55" applyNumberFormat="1" applyFont="1" applyFill="1" applyBorder="1" applyAlignment="1">
      <alignment horizontal="right" vertical="center" wrapText="1"/>
      <protection/>
    </xf>
    <xf numFmtId="0" fontId="10" fillId="10" borderId="10" xfId="54" applyFont="1" applyFill="1" applyBorder="1" applyAlignment="1">
      <alignment horizontal="left" vertical="center" wrapText="1"/>
      <protection/>
    </xf>
    <xf numFmtId="0" fontId="10" fillId="0" borderId="0" xfId="54" applyFont="1" applyFill="1">
      <alignment/>
      <protection/>
    </xf>
    <xf numFmtId="0" fontId="14" fillId="34" borderId="10" xfId="54" applyFont="1" applyFill="1" applyBorder="1" applyAlignment="1">
      <alignment horizontal="left" vertical="center" wrapText="1"/>
      <protection/>
    </xf>
    <xf numFmtId="0" fontId="17" fillId="0" borderId="10" xfId="54" applyFont="1" applyFill="1" applyBorder="1" applyAlignment="1">
      <alignment horizontal="left" vertical="center" wrapText="1"/>
      <protection/>
    </xf>
    <xf numFmtId="0" fontId="17" fillId="34" borderId="10" xfId="54" applyFont="1" applyFill="1" applyBorder="1" applyAlignment="1">
      <alignment horizontal="left" vertical="center" wrapText="1"/>
      <protection/>
    </xf>
    <xf numFmtId="3" fontId="14" fillId="33" borderId="10" xfId="54" applyNumberFormat="1" applyFont="1" applyFill="1" applyBorder="1" applyAlignment="1">
      <alignment horizontal="right" vertical="center"/>
      <protection/>
    </xf>
    <xf numFmtId="0" fontId="13" fillId="10" borderId="10" xfId="54" applyFont="1" applyFill="1" applyBorder="1" applyAlignment="1">
      <alignment horizontal="left" vertical="center" wrapText="1"/>
      <protection/>
    </xf>
    <xf numFmtId="0" fontId="17" fillId="0" borderId="10" xfId="54" applyFont="1" applyFill="1" applyBorder="1" applyAlignment="1">
      <alignment vertical="center" wrapText="1"/>
      <protection/>
    </xf>
    <xf numFmtId="0" fontId="17" fillId="0" borderId="10" xfId="54" applyFont="1" applyFill="1" applyBorder="1" applyAlignment="1">
      <alignment vertical="center"/>
      <protection/>
    </xf>
    <xf numFmtId="191" fontId="14" fillId="0" borderId="10" xfId="54" applyNumberFormat="1" applyFont="1" applyFill="1" applyBorder="1" applyAlignment="1">
      <alignment horizontal="left" vertical="center"/>
      <protection/>
    </xf>
    <xf numFmtId="189" fontId="11" fillId="0" borderId="0" xfId="54" applyNumberFormat="1" applyFont="1" applyFill="1">
      <alignment/>
      <protection/>
    </xf>
    <xf numFmtId="3" fontId="11" fillId="0" borderId="0" xfId="54" applyNumberFormat="1" applyFont="1" applyFill="1">
      <alignment/>
      <protection/>
    </xf>
    <xf numFmtId="3" fontId="12" fillId="0" borderId="0" xfId="54" applyNumberFormat="1" applyFont="1" applyBorder="1" applyAlignment="1">
      <alignment horizontal="right"/>
      <protection/>
    </xf>
    <xf numFmtId="1" fontId="11" fillId="13" borderId="10" xfId="54" applyNumberFormat="1" applyFont="1" applyFill="1" applyBorder="1" applyAlignment="1">
      <alignment horizontal="center" vertical="center"/>
      <protection/>
    </xf>
    <xf numFmtId="0" fontId="11" fillId="13" borderId="10" xfId="54" applyFont="1" applyFill="1" applyBorder="1" applyAlignment="1">
      <alignment horizontal="center" vertical="center"/>
      <protection/>
    </xf>
    <xf numFmtId="3" fontId="11" fillId="13" borderId="10" xfId="54" applyNumberFormat="1" applyFont="1" applyFill="1" applyBorder="1" applyAlignment="1">
      <alignment horizontal="center" vertical="center"/>
      <protection/>
    </xf>
    <xf numFmtId="0" fontId="10" fillId="10" borderId="10" xfId="54" applyFont="1" applyFill="1" applyBorder="1" applyAlignment="1" quotePrefix="1">
      <alignment horizontal="center" vertical="center"/>
      <protection/>
    </xf>
    <xf numFmtId="3" fontId="16" fillId="33" borderId="10" xfId="55" applyNumberFormat="1" applyFont="1" applyFill="1" applyBorder="1" applyAlignment="1">
      <alignment horizontal="right" vertical="center" wrapText="1"/>
      <protection/>
    </xf>
    <xf numFmtId="0" fontId="10" fillId="13" borderId="10" xfId="54" applyFont="1" applyFill="1" applyBorder="1" applyAlignment="1" quotePrefix="1">
      <alignment horizontal="center" vertical="center"/>
      <protection/>
    </xf>
    <xf numFmtId="0" fontId="11" fillId="0" borderId="0" xfId="54" applyFont="1" applyFill="1" applyAlignment="1">
      <alignment horizontal="left"/>
      <protection/>
    </xf>
    <xf numFmtId="3" fontId="11" fillId="0" borderId="0" xfId="54" applyNumberFormat="1" applyFont="1" applyFill="1" applyAlignment="1">
      <alignment horizontal="right"/>
      <protection/>
    </xf>
    <xf numFmtId="0" fontId="13" fillId="10" borderId="10" xfId="54" applyFont="1" applyFill="1" applyBorder="1" applyAlignment="1">
      <alignment horizontal="left" vertical="center"/>
      <protection/>
    </xf>
    <xf numFmtId="0" fontId="13" fillId="13" borderId="10" xfId="54" applyFont="1" applyFill="1" applyBorder="1" applyAlignment="1">
      <alignment horizontal="left" vertical="center"/>
      <protection/>
    </xf>
    <xf numFmtId="0" fontId="10" fillId="13" borderId="10" xfId="54" applyFont="1" applyFill="1" applyBorder="1" applyAlignment="1">
      <alignment horizontal="left" vertical="center" wrapText="1"/>
      <protection/>
    </xf>
    <xf numFmtId="0" fontId="18" fillId="0" borderId="0" xfId="0" applyFont="1" applyAlignment="1">
      <alignment/>
    </xf>
    <xf numFmtId="3" fontId="19" fillId="0" borderId="0" xfId="0" applyNumberFormat="1" applyFont="1" applyAlignment="1">
      <alignment/>
    </xf>
    <xf numFmtId="0" fontId="19" fillId="0" borderId="0" xfId="0" applyFont="1" applyAlignment="1">
      <alignment/>
    </xf>
    <xf numFmtId="0" fontId="20" fillId="0" borderId="0" xfId="0" applyFont="1" applyAlignment="1">
      <alignment/>
    </xf>
    <xf numFmtId="0" fontId="21" fillId="0" borderId="10" xfId="0" applyFont="1" applyBorder="1" applyAlignment="1">
      <alignment horizontal="center" vertical="center" wrapText="1"/>
    </xf>
    <xf numFmtId="3" fontId="22" fillId="0" borderId="10" xfId="0" applyNumberFormat="1" applyFont="1" applyBorder="1" applyAlignment="1">
      <alignment horizontal="center" textRotation="90"/>
    </xf>
    <xf numFmtId="3" fontId="11" fillId="0" borderId="10" xfId="54" applyNumberFormat="1" applyFont="1" applyFill="1" applyBorder="1" applyAlignment="1">
      <alignment horizontal="center" vertical="center" textRotation="90" wrapText="1"/>
      <protection/>
    </xf>
    <xf numFmtId="3" fontId="11" fillId="0" borderId="10" xfId="54" applyNumberFormat="1" applyFont="1" applyFill="1" applyBorder="1" applyAlignment="1">
      <alignment horizontal="center" vertical="center" textRotation="90"/>
      <protection/>
    </xf>
    <xf numFmtId="3" fontId="10" fillId="0" borderId="10" xfId="54" applyNumberFormat="1" applyFont="1" applyFill="1" applyBorder="1" applyAlignment="1">
      <alignment horizontal="center" vertical="center" textRotation="90"/>
      <protection/>
    </xf>
    <xf numFmtId="3" fontId="11" fillId="0" borderId="10" xfId="54" applyNumberFormat="1" applyFont="1" applyFill="1" applyBorder="1" applyAlignment="1">
      <alignment horizontal="center" textRotation="90" wrapText="1"/>
      <protection/>
    </xf>
    <xf numFmtId="0" fontId="22" fillId="0" borderId="0" xfId="0" applyFont="1" applyAlignment="1">
      <alignment/>
    </xf>
    <xf numFmtId="0" fontId="22" fillId="0" borderId="10" xfId="0" applyFont="1" applyBorder="1" applyAlignment="1">
      <alignment/>
    </xf>
    <xf numFmtId="3" fontId="19" fillId="0" borderId="10" xfId="0" applyNumberFormat="1" applyFont="1" applyBorder="1" applyAlignment="1">
      <alignment/>
    </xf>
    <xf numFmtId="189" fontId="10" fillId="12" borderId="10" xfId="54" applyNumberFormat="1" applyFont="1" applyFill="1" applyBorder="1" applyAlignment="1" quotePrefix="1">
      <alignment horizontal="center" vertical="center"/>
      <protection/>
    </xf>
    <xf numFmtId="190" fontId="10" fillId="12" borderId="10" xfId="54" applyNumberFormat="1" applyFont="1" applyFill="1" applyBorder="1" applyAlignment="1">
      <alignment vertical="center"/>
      <protection/>
    </xf>
    <xf numFmtId="0" fontId="10" fillId="6" borderId="10" xfId="54" applyFont="1" applyFill="1" applyBorder="1" applyAlignment="1">
      <alignment horizontal="left" vertical="center" wrapText="1"/>
      <protection/>
    </xf>
    <xf numFmtId="0" fontId="10" fillId="12" borderId="10" xfId="54" applyFont="1" applyFill="1" applyBorder="1" applyAlignment="1">
      <alignment horizontal="left" vertical="center"/>
      <protection/>
    </xf>
    <xf numFmtId="0" fontId="11" fillId="33" borderId="0" xfId="54" applyFont="1" applyFill="1">
      <alignment/>
      <protection/>
    </xf>
    <xf numFmtId="1" fontId="11" fillId="7" borderId="10" xfId="54" applyNumberFormat="1" applyFont="1" applyFill="1" applyBorder="1" applyAlignment="1">
      <alignment horizontal="center" vertical="center"/>
      <protection/>
    </xf>
    <xf numFmtId="0" fontId="11" fillId="7" borderId="10" xfId="54" applyFont="1" applyFill="1" applyBorder="1" applyAlignment="1">
      <alignment horizontal="center" vertical="center"/>
      <protection/>
    </xf>
    <xf numFmtId="3" fontId="11" fillId="7" borderId="10" xfId="54" applyNumberFormat="1" applyFont="1" applyFill="1" applyBorder="1" applyAlignment="1">
      <alignment horizontal="center" vertical="center"/>
      <protection/>
    </xf>
    <xf numFmtId="0" fontId="10" fillId="4" borderId="10" xfId="54" applyFont="1" applyFill="1" applyBorder="1" applyAlignment="1" quotePrefix="1">
      <alignment horizontal="center" vertical="center"/>
      <protection/>
    </xf>
    <xf numFmtId="0" fontId="10" fillId="4" borderId="10" xfId="54" applyFont="1" applyFill="1" applyBorder="1" applyAlignment="1">
      <alignment horizontal="left" vertical="center" wrapText="1"/>
      <protection/>
    </xf>
    <xf numFmtId="0" fontId="10" fillId="4" borderId="10" xfId="54" applyFont="1" applyFill="1" applyBorder="1" applyAlignment="1">
      <alignment horizontal="left" vertical="center"/>
      <protection/>
    </xf>
    <xf numFmtId="0" fontId="10" fillId="6" borderId="10" xfId="54" applyFont="1" applyFill="1" applyBorder="1" applyAlignment="1" quotePrefix="1">
      <alignment horizontal="center" vertical="center"/>
      <protection/>
    </xf>
    <xf numFmtId="0" fontId="10" fillId="6" borderId="10" xfId="54" applyFont="1" applyFill="1" applyBorder="1" applyAlignment="1">
      <alignment horizontal="left" vertical="center"/>
      <protection/>
    </xf>
    <xf numFmtId="3" fontId="13" fillId="6" borderId="10" xfId="55" applyNumberFormat="1" applyFont="1" applyFill="1" applyBorder="1" applyAlignment="1">
      <alignment horizontal="right" vertical="center" wrapText="1"/>
      <protection/>
    </xf>
    <xf numFmtId="0" fontId="13" fillId="6" borderId="10" xfId="54" applyFont="1" applyFill="1" applyBorder="1" applyAlignment="1">
      <alignment horizontal="left" vertical="center" wrapText="1"/>
      <protection/>
    </xf>
    <xf numFmtId="0" fontId="14" fillId="0" borderId="10" xfId="54" applyFont="1" applyFill="1" applyBorder="1" applyAlignment="1" quotePrefix="1">
      <alignment horizontal="center" vertical="center"/>
      <protection/>
    </xf>
    <xf numFmtId="0" fontId="17" fillId="0" borderId="10" xfId="54" applyFont="1" applyFill="1" applyBorder="1" applyAlignment="1">
      <alignment horizontal="left" vertical="center"/>
      <protection/>
    </xf>
    <xf numFmtId="0" fontId="13" fillId="6" borderId="10" xfId="54" applyFont="1" applyFill="1" applyBorder="1" applyAlignment="1">
      <alignment horizontal="left" vertical="center"/>
      <protection/>
    </xf>
    <xf numFmtId="0" fontId="15" fillId="33" borderId="10" xfId="54" applyFont="1" applyFill="1" applyBorder="1" applyAlignment="1" quotePrefix="1">
      <alignment horizontal="center" vertical="center"/>
      <protection/>
    </xf>
    <xf numFmtId="0" fontId="16" fillId="33" borderId="10" xfId="54" applyFont="1" applyFill="1" applyBorder="1" applyAlignment="1">
      <alignment horizontal="left" vertical="center" wrapText="1"/>
      <protection/>
    </xf>
    <xf numFmtId="0" fontId="15" fillId="33" borderId="10" xfId="54" applyFont="1" applyFill="1" applyBorder="1" applyAlignment="1">
      <alignment horizontal="left" vertical="center" wrapText="1"/>
      <protection/>
    </xf>
    <xf numFmtId="0" fontId="16" fillId="33" borderId="10" xfId="54" applyFont="1" applyFill="1" applyBorder="1" applyAlignment="1">
      <alignment horizontal="left" vertical="center"/>
      <protection/>
    </xf>
    <xf numFmtId="0" fontId="15" fillId="33" borderId="0" xfId="54" applyFont="1" applyFill="1">
      <alignment/>
      <protection/>
    </xf>
    <xf numFmtId="0" fontId="14" fillId="33" borderId="0" xfId="54" applyFont="1" applyFill="1">
      <alignment/>
      <protection/>
    </xf>
    <xf numFmtId="0" fontId="11" fillId="33" borderId="0" xfId="54" applyFont="1" applyFill="1" applyBorder="1">
      <alignment/>
      <protection/>
    </xf>
    <xf numFmtId="3" fontId="13" fillId="10" borderId="10" xfId="55" applyNumberFormat="1" applyFont="1" applyFill="1" applyBorder="1" applyAlignment="1">
      <alignment horizontal="right" vertical="center" wrapText="1"/>
      <protection/>
    </xf>
    <xf numFmtId="0" fontId="15" fillId="33" borderId="10" xfId="54" applyFont="1" applyFill="1" applyBorder="1" applyAlignment="1">
      <alignment horizontal="left" vertical="center"/>
      <protection/>
    </xf>
    <xf numFmtId="0" fontId="15" fillId="33" borderId="0" xfId="54" applyFont="1" applyFill="1" applyBorder="1">
      <alignment/>
      <protection/>
    </xf>
    <xf numFmtId="3" fontId="13" fillId="4" borderId="10" xfId="55" applyNumberFormat="1" applyFont="1" applyFill="1" applyBorder="1" applyAlignment="1">
      <alignment horizontal="right" vertical="center" wrapText="1"/>
      <protection/>
    </xf>
    <xf numFmtId="0" fontId="15" fillId="33" borderId="0" xfId="54" applyFont="1" applyFill="1" applyAlignment="1">
      <alignment horizontal="left"/>
      <protection/>
    </xf>
    <xf numFmtId="0" fontId="15" fillId="33" borderId="0" xfId="54" applyFont="1" applyFill="1" applyBorder="1" applyAlignment="1">
      <alignment horizontal="left"/>
      <protection/>
    </xf>
    <xf numFmtId="0" fontId="10" fillId="33" borderId="0" xfId="54" applyFont="1" applyFill="1">
      <alignment/>
      <protection/>
    </xf>
    <xf numFmtId="0" fontId="10" fillId="33" borderId="0" xfId="54" applyFont="1" applyFill="1" applyBorder="1">
      <alignment/>
      <protection/>
    </xf>
    <xf numFmtId="0" fontId="107" fillId="4" borderId="10" xfId="54" applyFont="1" applyFill="1" applyBorder="1" applyAlignment="1">
      <alignment horizontal="left" vertical="center" wrapText="1"/>
      <protection/>
    </xf>
    <xf numFmtId="189" fontId="15" fillId="33" borderId="10" xfId="54" applyNumberFormat="1" applyFont="1" applyFill="1" applyBorder="1" applyAlignment="1" quotePrefix="1">
      <alignment horizontal="center" vertical="center"/>
      <protection/>
    </xf>
    <xf numFmtId="0" fontId="15" fillId="33" borderId="10" xfId="54" applyFont="1" applyFill="1" applyBorder="1" applyAlignment="1">
      <alignment vertical="center" wrapText="1"/>
      <protection/>
    </xf>
    <xf numFmtId="190" fontId="15" fillId="33" borderId="10" xfId="54" applyNumberFormat="1" applyFont="1" applyFill="1" applyBorder="1" applyAlignment="1">
      <alignment vertical="center"/>
      <protection/>
    </xf>
    <xf numFmtId="189" fontId="10" fillId="4" borderId="10" xfId="54" applyNumberFormat="1" applyFont="1" applyFill="1" applyBorder="1" applyAlignment="1" quotePrefix="1">
      <alignment horizontal="center" vertical="center"/>
      <protection/>
    </xf>
    <xf numFmtId="190" fontId="10" fillId="4" borderId="10" xfId="54" applyNumberFormat="1" applyFont="1" applyFill="1" applyBorder="1" applyAlignment="1">
      <alignment vertical="center"/>
      <protection/>
    </xf>
    <xf numFmtId="0" fontId="16" fillId="33" borderId="10" xfId="54" applyFont="1" applyFill="1" applyBorder="1" applyAlignment="1">
      <alignment vertical="center" wrapText="1"/>
      <protection/>
    </xf>
    <xf numFmtId="0" fontId="13" fillId="4" borderId="10" xfId="54" applyFont="1" applyFill="1" applyBorder="1" applyAlignment="1">
      <alignment horizontal="left" vertical="center" wrapText="1"/>
      <protection/>
    </xf>
    <xf numFmtId="3" fontId="10" fillId="10" borderId="10" xfId="54" applyNumberFormat="1" applyFont="1" applyFill="1" applyBorder="1" applyAlignment="1">
      <alignment horizontal="right" vertical="center"/>
      <protection/>
    </xf>
    <xf numFmtId="3" fontId="13" fillId="12" borderId="10" xfId="55" applyNumberFormat="1" applyFont="1" applyFill="1" applyBorder="1" applyAlignment="1">
      <alignment horizontal="right" vertical="center" wrapText="1"/>
      <protection/>
    </xf>
    <xf numFmtId="0" fontId="14" fillId="33" borderId="0" xfId="54" applyFont="1" applyFill="1" applyBorder="1">
      <alignment/>
      <protection/>
    </xf>
    <xf numFmtId="3" fontId="14" fillId="33" borderId="0" xfId="54" applyNumberFormat="1" applyFont="1" applyFill="1" applyBorder="1" applyAlignment="1">
      <alignment horizontal="right" vertical="center"/>
      <protection/>
    </xf>
    <xf numFmtId="189" fontId="14" fillId="33" borderId="10" xfId="54" applyNumberFormat="1" applyFont="1" applyFill="1" applyBorder="1" applyAlignment="1" quotePrefix="1">
      <alignment horizontal="center" vertical="center"/>
      <protection/>
    </xf>
    <xf numFmtId="0" fontId="17" fillId="33" borderId="10" xfId="54" applyFont="1" applyFill="1" applyBorder="1" applyAlignment="1">
      <alignment vertical="center" wrapText="1"/>
      <protection/>
    </xf>
    <xf numFmtId="190" fontId="14" fillId="33" borderId="10" xfId="54" applyNumberFormat="1" applyFont="1" applyFill="1" applyBorder="1" applyAlignment="1">
      <alignment vertical="center"/>
      <protection/>
    </xf>
    <xf numFmtId="0" fontId="17" fillId="33" borderId="10" xfId="54" applyFont="1" applyFill="1" applyBorder="1" applyAlignment="1">
      <alignment vertical="center"/>
      <protection/>
    </xf>
    <xf numFmtId="0" fontId="17" fillId="33" borderId="10" xfId="54" applyFont="1" applyFill="1" applyBorder="1" applyAlignment="1">
      <alignment horizontal="left" vertical="center" wrapText="1"/>
      <protection/>
    </xf>
    <xf numFmtId="0" fontId="7" fillId="0" borderId="0" xfId="0" applyNumberFormat="1" applyFont="1" applyAlignment="1" applyProtection="1">
      <alignment horizontal="left" vertical="top" wrapText="1"/>
      <protection/>
    </xf>
    <xf numFmtId="0" fontId="0" fillId="0" borderId="10" xfId="0" applyBorder="1" applyAlignment="1">
      <alignment/>
    </xf>
    <xf numFmtId="3" fontId="0" fillId="0" borderId="0" xfId="0" applyNumberFormat="1" applyBorder="1" applyAlignment="1">
      <alignment/>
    </xf>
    <xf numFmtId="3" fontId="63" fillId="0" borderId="10" xfId="0" applyNumberFormat="1" applyFont="1" applyBorder="1" applyAlignment="1">
      <alignment/>
    </xf>
    <xf numFmtId="3" fontId="63" fillId="0" borderId="0" xfId="0" applyNumberFormat="1" applyFont="1" applyAlignment="1">
      <alignment/>
    </xf>
    <xf numFmtId="0" fontId="63" fillId="0" borderId="0" xfId="0" applyFont="1" applyAlignment="1">
      <alignment/>
    </xf>
    <xf numFmtId="3" fontId="65" fillId="0" borderId="10" xfId="0" applyNumberFormat="1" applyFont="1" applyBorder="1" applyAlignment="1">
      <alignment/>
    </xf>
    <xf numFmtId="3" fontId="65" fillId="0" borderId="0" xfId="0" applyNumberFormat="1" applyFont="1" applyAlignment="1">
      <alignment/>
    </xf>
    <xf numFmtId="3" fontId="65" fillId="0" borderId="0" xfId="0" applyNumberFormat="1" applyFont="1" applyBorder="1" applyAlignment="1">
      <alignment/>
    </xf>
    <xf numFmtId="0" fontId="108" fillId="0" borderId="0" xfId="0" applyFont="1" applyAlignment="1">
      <alignment/>
    </xf>
    <xf numFmtId="0" fontId="102" fillId="35" borderId="10" xfId="0" applyFont="1" applyFill="1" applyBorder="1" applyAlignment="1">
      <alignment/>
    </xf>
    <xf numFmtId="3" fontId="102" fillId="35" borderId="10" xfId="0" applyNumberFormat="1" applyFont="1" applyFill="1" applyBorder="1" applyAlignment="1">
      <alignment horizontal="right"/>
    </xf>
    <xf numFmtId="3" fontId="65" fillId="35" borderId="10" xfId="0" applyNumberFormat="1" applyFont="1" applyFill="1" applyBorder="1" applyAlignment="1">
      <alignment horizontal="right"/>
    </xf>
    <xf numFmtId="3" fontId="109" fillId="0" borderId="10" xfId="0" applyNumberFormat="1" applyFont="1" applyBorder="1" applyAlignment="1">
      <alignment/>
    </xf>
    <xf numFmtId="3" fontId="110" fillId="0" borderId="10" xfId="0" applyNumberFormat="1" applyFont="1" applyBorder="1" applyAlignment="1">
      <alignment/>
    </xf>
    <xf numFmtId="0" fontId="111" fillId="0" borderId="10" xfId="0" applyFont="1" applyBorder="1" applyAlignment="1">
      <alignment horizontal="right"/>
    </xf>
    <xf numFmtId="3" fontId="111" fillId="0" borderId="10" xfId="0" applyNumberFormat="1" applyFont="1" applyBorder="1" applyAlignment="1">
      <alignment/>
    </xf>
    <xf numFmtId="3" fontId="112" fillId="0" borderId="10" xfId="0" applyNumberFormat="1" applyFont="1" applyBorder="1" applyAlignment="1">
      <alignment/>
    </xf>
    <xf numFmtId="0" fontId="113" fillId="0" borderId="0" xfId="0" applyFont="1" applyAlignment="1">
      <alignment/>
    </xf>
    <xf numFmtId="3" fontId="114" fillId="0" borderId="10" xfId="0" applyNumberFormat="1" applyFont="1" applyBorder="1" applyAlignment="1">
      <alignment/>
    </xf>
    <xf numFmtId="0" fontId="102" fillId="0" borderId="10" xfId="0" applyFont="1" applyBorder="1" applyAlignment="1">
      <alignment horizontal="left"/>
    </xf>
    <xf numFmtId="3" fontId="0" fillId="0" borderId="10" xfId="0" applyNumberFormat="1" applyFont="1" applyBorder="1" applyAlignment="1">
      <alignment/>
    </xf>
    <xf numFmtId="0" fontId="0" fillId="0" borderId="0" xfId="0" applyFont="1" applyAlignment="1">
      <alignment/>
    </xf>
    <xf numFmtId="0" fontId="102" fillId="2" borderId="10" xfId="0" applyFont="1" applyFill="1" applyBorder="1" applyAlignment="1">
      <alignment horizontal="left"/>
    </xf>
    <xf numFmtId="3" fontId="102" fillId="2" borderId="10" xfId="0" applyNumberFormat="1" applyFont="1" applyFill="1" applyBorder="1" applyAlignment="1">
      <alignment/>
    </xf>
    <xf numFmtId="3" fontId="65" fillId="2" borderId="10" xfId="0" applyNumberFormat="1" applyFont="1" applyFill="1" applyBorder="1" applyAlignment="1">
      <alignment/>
    </xf>
    <xf numFmtId="0" fontId="102" fillId="0" borderId="0" xfId="0" applyFont="1" applyAlignment="1">
      <alignment horizontal="right"/>
    </xf>
    <xf numFmtId="3" fontId="102" fillId="0" borderId="0" xfId="0" applyNumberFormat="1" applyFont="1" applyAlignment="1">
      <alignment/>
    </xf>
    <xf numFmtId="0" fontId="102" fillId="0" borderId="10" xfId="0" applyFont="1" applyBorder="1" applyAlignment="1">
      <alignment/>
    </xf>
    <xf numFmtId="3" fontId="102" fillId="0" borderId="10" xfId="0" applyNumberFormat="1" applyFont="1" applyBorder="1" applyAlignment="1">
      <alignment/>
    </xf>
    <xf numFmtId="3" fontId="115" fillId="0" borderId="10" xfId="0" applyNumberFormat="1" applyFont="1" applyBorder="1" applyAlignment="1">
      <alignment/>
    </xf>
    <xf numFmtId="0" fontId="102" fillId="2" borderId="10" xfId="0" applyFont="1" applyFill="1" applyBorder="1" applyAlignment="1">
      <alignment/>
    </xf>
    <xf numFmtId="0" fontId="102" fillId="7" borderId="10" xfId="0" applyFont="1" applyFill="1" applyBorder="1" applyAlignment="1">
      <alignment horizontal="center"/>
    </xf>
    <xf numFmtId="3" fontId="102" fillId="7" borderId="10" xfId="0" applyNumberFormat="1" applyFont="1" applyFill="1" applyBorder="1" applyAlignment="1">
      <alignment/>
    </xf>
    <xf numFmtId="3" fontId="65" fillId="7" borderId="10" xfId="0" applyNumberFormat="1" applyFont="1" applyFill="1" applyBorder="1" applyAlignment="1">
      <alignment/>
    </xf>
    <xf numFmtId="3" fontId="102" fillId="0" borderId="10" xfId="0" applyNumberFormat="1" applyFont="1" applyBorder="1" applyAlignment="1">
      <alignment horizontal="right"/>
    </xf>
    <xf numFmtId="3" fontId="65" fillId="0" borderId="10" xfId="0" applyNumberFormat="1" applyFont="1" applyBorder="1" applyAlignment="1">
      <alignment horizontal="right"/>
    </xf>
    <xf numFmtId="0" fontId="0" fillId="0" borderId="0" xfId="0" applyFont="1" applyAlignment="1">
      <alignment horizontal="right"/>
    </xf>
    <xf numFmtId="3" fontId="0" fillId="0" borderId="0" xfId="0" applyNumberFormat="1" applyFont="1" applyAlignment="1">
      <alignment/>
    </xf>
    <xf numFmtId="3" fontId="115" fillId="7" borderId="10" xfId="0" applyNumberFormat="1" applyFont="1" applyFill="1" applyBorder="1" applyAlignment="1">
      <alignment/>
    </xf>
    <xf numFmtId="0" fontId="102" fillId="0" borderId="0" xfId="0" applyFont="1" applyBorder="1" applyAlignment="1">
      <alignment horizontal="right"/>
    </xf>
    <xf numFmtId="3" fontId="102" fillId="0" borderId="0" xfId="0" applyNumberFormat="1" applyFont="1" applyBorder="1" applyAlignment="1">
      <alignment/>
    </xf>
    <xf numFmtId="0" fontId="0" fillId="0" borderId="10" xfId="0" applyFont="1" applyBorder="1" applyAlignment="1">
      <alignment horizontal="left"/>
    </xf>
    <xf numFmtId="0" fontId="0" fillId="0" borderId="10" xfId="0" applyBorder="1" applyAlignment="1">
      <alignment horizontal="left"/>
    </xf>
    <xf numFmtId="0" fontId="102" fillId="35" borderId="10" xfId="0" applyFont="1" applyFill="1" applyBorder="1" applyAlignment="1">
      <alignment horizontal="center"/>
    </xf>
    <xf numFmtId="3" fontId="102" fillId="35" borderId="10" xfId="0" applyNumberFormat="1" applyFont="1" applyFill="1" applyBorder="1" applyAlignment="1">
      <alignment/>
    </xf>
    <xf numFmtId="3" fontId="65" fillId="35" borderId="10" xfId="0" applyNumberFormat="1" applyFont="1" applyFill="1" applyBorder="1" applyAlignment="1">
      <alignment/>
    </xf>
    <xf numFmtId="3" fontId="0" fillId="0" borderId="0" xfId="0" applyNumberFormat="1" applyAlignment="1">
      <alignment horizontal="right"/>
    </xf>
    <xf numFmtId="4" fontId="0" fillId="0" borderId="0" xfId="0" applyNumberFormat="1" applyAlignment="1">
      <alignment/>
    </xf>
    <xf numFmtId="0" fontId="116" fillId="0" borderId="13" xfId="0" applyFont="1" applyBorder="1" applyAlignment="1">
      <alignment horizontal="right" vertical="top" wrapText="1" indent="1"/>
    </xf>
    <xf numFmtId="0" fontId="117" fillId="0" borderId="14" xfId="0" applyFont="1" applyBorder="1" applyAlignment="1">
      <alignment horizontal="center" vertical="top" wrapText="1"/>
    </xf>
    <xf numFmtId="0" fontId="117" fillId="0" borderId="15" xfId="0" applyFont="1" applyBorder="1" applyAlignment="1">
      <alignment horizontal="center" vertical="top" wrapText="1"/>
    </xf>
    <xf numFmtId="0" fontId="117" fillId="0" borderId="16" xfId="0" applyFont="1" applyBorder="1" applyAlignment="1">
      <alignment horizontal="center" vertical="top" wrapText="1"/>
    </xf>
    <xf numFmtId="3" fontId="116" fillId="0" borderId="16" xfId="0" applyNumberFormat="1" applyFont="1" applyBorder="1" applyAlignment="1">
      <alignment horizontal="right" vertical="top" wrapText="1" indent="1"/>
    </xf>
    <xf numFmtId="0" fontId="116" fillId="0" borderId="16" xfId="0" applyFont="1" applyBorder="1" applyAlignment="1">
      <alignment horizontal="right" vertical="top" wrapText="1" indent="1"/>
    </xf>
    <xf numFmtId="0" fontId="66" fillId="0" borderId="10" xfId="0" applyFont="1" applyBorder="1" applyAlignment="1">
      <alignment horizontal="right"/>
    </xf>
    <xf numFmtId="3" fontId="66" fillId="0" borderId="10" xfId="0" applyNumberFormat="1" applyFont="1" applyBorder="1" applyAlignment="1">
      <alignment/>
    </xf>
    <xf numFmtId="0" fontId="64" fillId="0" borderId="0" xfId="0" applyFont="1" applyAlignment="1">
      <alignment/>
    </xf>
    <xf numFmtId="0" fontId="65" fillId="7" borderId="10" xfId="0" applyFont="1" applyFill="1" applyBorder="1" applyAlignment="1">
      <alignment horizontal="center"/>
    </xf>
    <xf numFmtId="3" fontId="118" fillId="0" borderId="0" xfId="0" applyNumberFormat="1" applyFont="1" applyAlignment="1">
      <alignment/>
    </xf>
    <xf numFmtId="0" fontId="118" fillId="0" borderId="0" xfId="0" applyFont="1" applyAlignment="1">
      <alignment/>
    </xf>
    <xf numFmtId="3" fontId="113" fillId="0" borderId="0" xfId="0" applyNumberFormat="1" applyFont="1" applyAlignment="1">
      <alignment/>
    </xf>
    <xf numFmtId="3" fontId="106" fillId="3" borderId="10" xfId="0" applyNumberFormat="1" applyFont="1" applyFill="1" applyBorder="1" applyAlignment="1">
      <alignment horizontal="center"/>
    </xf>
    <xf numFmtId="0" fontId="118" fillId="0" borderId="10" xfId="0" applyFont="1" applyBorder="1" applyAlignment="1">
      <alignment/>
    </xf>
    <xf numFmtId="3" fontId="118" fillId="0" borderId="10" xfId="0" applyNumberFormat="1" applyFont="1" applyBorder="1" applyAlignment="1">
      <alignment/>
    </xf>
    <xf numFmtId="0" fontId="119" fillId="0" borderId="10" xfId="0" applyFont="1" applyBorder="1" applyAlignment="1">
      <alignment/>
    </xf>
    <xf numFmtId="3" fontId="119" fillId="0" borderId="10" xfId="0" applyNumberFormat="1" applyFont="1" applyBorder="1" applyAlignment="1">
      <alignment/>
    </xf>
    <xf numFmtId="0" fontId="119" fillId="0" borderId="0" xfId="0" applyFont="1" applyAlignment="1">
      <alignment/>
    </xf>
    <xf numFmtId="0" fontId="120" fillId="0" borderId="0" xfId="0" applyFont="1" applyAlignment="1">
      <alignment/>
    </xf>
    <xf numFmtId="3" fontId="120" fillId="0" borderId="0" xfId="0" applyNumberFormat="1" applyFont="1" applyAlignment="1">
      <alignment/>
    </xf>
    <xf numFmtId="0" fontId="119" fillId="0" borderId="0" xfId="0" applyFont="1" applyBorder="1" applyAlignment="1">
      <alignment/>
    </xf>
    <xf numFmtId="3" fontId="119" fillId="0" borderId="0" xfId="0" applyNumberFormat="1" applyFont="1" applyBorder="1" applyAlignment="1">
      <alignment/>
    </xf>
    <xf numFmtId="0" fontId="106" fillId="4" borderId="10" xfId="0" applyFont="1" applyFill="1" applyBorder="1" applyAlignment="1">
      <alignment/>
    </xf>
    <xf numFmtId="3" fontId="106" fillId="4" borderId="10" xfId="0" applyNumberFormat="1" applyFont="1" applyFill="1" applyBorder="1" applyAlignment="1">
      <alignment/>
    </xf>
    <xf numFmtId="0" fontId="0" fillId="3" borderId="17" xfId="0" applyFill="1" applyBorder="1" applyAlignment="1">
      <alignment/>
    </xf>
    <xf numFmtId="3" fontId="0" fillId="3" borderId="18" xfId="0" applyNumberFormat="1" applyFill="1" applyBorder="1" applyAlignment="1">
      <alignment/>
    </xf>
    <xf numFmtId="0" fontId="0" fillId="3" borderId="19" xfId="0" applyFill="1" applyBorder="1" applyAlignment="1">
      <alignment/>
    </xf>
    <xf numFmtId="0" fontId="0" fillId="3" borderId="20" xfId="0" applyFill="1" applyBorder="1" applyAlignment="1">
      <alignment horizontal="left" vertical="center" wrapText="1"/>
    </xf>
    <xf numFmtId="3" fontId="0" fillId="3" borderId="10" xfId="0" applyNumberFormat="1" applyFill="1" applyBorder="1" applyAlignment="1">
      <alignment horizontal="left" vertical="center" wrapText="1"/>
    </xf>
    <xf numFmtId="0" fontId="102" fillId="0" borderId="0" xfId="0" applyFont="1" applyBorder="1" applyAlignment="1">
      <alignment/>
    </xf>
    <xf numFmtId="0" fontId="0" fillId="0" borderId="0" xfId="0" applyBorder="1" applyAlignment="1">
      <alignment/>
    </xf>
    <xf numFmtId="3" fontId="0" fillId="3" borderId="10" xfId="0" applyNumberFormat="1" applyFill="1" applyBorder="1" applyAlignment="1">
      <alignment/>
    </xf>
    <xf numFmtId="0" fontId="102" fillId="3" borderId="10" xfId="0" applyFont="1" applyFill="1" applyBorder="1" applyAlignment="1">
      <alignment/>
    </xf>
    <xf numFmtId="3" fontId="102" fillId="3" borderId="10" xfId="0" applyNumberFormat="1" applyFont="1" applyFill="1" applyBorder="1" applyAlignment="1">
      <alignment/>
    </xf>
    <xf numFmtId="0" fontId="102" fillId="33" borderId="10" xfId="0" applyFont="1" applyFill="1" applyBorder="1" applyAlignment="1">
      <alignment/>
    </xf>
    <xf numFmtId="3" fontId="102" fillId="33" borderId="10" xfId="0" applyNumberFormat="1" applyFont="1" applyFill="1" applyBorder="1" applyAlignment="1">
      <alignment/>
    </xf>
    <xf numFmtId="3" fontId="102" fillId="33" borderId="0" xfId="0" applyNumberFormat="1" applyFont="1" applyFill="1" applyAlignment="1">
      <alignment/>
    </xf>
    <xf numFmtId="0" fontId="102" fillId="33" borderId="0" xfId="0" applyFont="1" applyFill="1" applyAlignment="1">
      <alignment/>
    </xf>
    <xf numFmtId="0" fontId="111" fillId="33" borderId="10" xfId="0" applyFont="1" applyFill="1" applyBorder="1" applyAlignment="1">
      <alignment/>
    </xf>
    <xf numFmtId="3" fontId="111" fillId="33" borderId="10" xfId="0" applyNumberFormat="1" applyFont="1" applyFill="1" applyBorder="1" applyAlignment="1">
      <alignment/>
    </xf>
    <xf numFmtId="3" fontId="111" fillId="3" borderId="10" xfId="0" applyNumberFormat="1" applyFont="1" applyFill="1" applyBorder="1" applyAlignment="1">
      <alignment/>
    </xf>
    <xf numFmtId="3" fontId="111" fillId="33" borderId="0" xfId="0" applyNumberFormat="1" applyFont="1" applyFill="1" applyAlignment="1">
      <alignment/>
    </xf>
    <xf numFmtId="0" fontId="111" fillId="33" borderId="0" xfId="0" applyFont="1" applyFill="1" applyAlignment="1">
      <alignment/>
    </xf>
    <xf numFmtId="0" fontId="0" fillId="0" borderId="10" xfId="0" applyFill="1" applyBorder="1" applyAlignment="1">
      <alignment/>
    </xf>
    <xf numFmtId="0" fontId="111" fillId="0" borderId="10" xfId="0" applyFont="1" applyBorder="1" applyAlignment="1">
      <alignment/>
    </xf>
    <xf numFmtId="0" fontId="111" fillId="0" borderId="0" xfId="0" applyFont="1" applyAlignment="1">
      <alignment/>
    </xf>
    <xf numFmtId="3" fontId="0" fillId="33" borderId="0" xfId="0" applyNumberFormat="1" applyFill="1" applyAlignment="1">
      <alignment/>
    </xf>
    <xf numFmtId="0" fontId="0" fillId="33" borderId="0" xfId="0" applyFill="1" applyAlignment="1">
      <alignment/>
    </xf>
    <xf numFmtId="3" fontId="0" fillId="33" borderId="10" xfId="0" applyNumberFormat="1" applyFont="1" applyFill="1" applyBorder="1" applyAlignment="1">
      <alignment/>
    </xf>
    <xf numFmtId="3" fontId="121" fillId="0" borderId="0" xfId="0" applyNumberFormat="1" applyFont="1" applyAlignment="1">
      <alignment/>
    </xf>
    <xf numFmtId="0" fontId="122" fillId="0" borderId="0" xfId="0" applyFont="1" applyAlignment="1">
      <alignment/>
    </xf>
    <xf numFmtId="3" fontId="123" fillId="35" borderId="10" xfId="0" applyNumberFormat="1" applyFont="1" applyFill="1" applyBorder="1" applyAlignment="1">
      <alignment horizontal="right"/>
    </xf>
    <xf numFmtId="3" fontId="121" fillId="0" borderId="10" xfId="0" applyNumberFormat="1" applyFont="1" applyBorder="1" applyAlignment="1">
      <alignment/>
    </xf>
    <xf numFmtId="3" fontId="123" fillId="2" borderId="10" xfId="0" applyNumberFormat="1" applyFont="1" applyFill="1" applyBorder="1" applyAlignment="1">
      <alignment/>
    </xf>
    <xf numFmtId="3" fontId="123" fillId="0" borderId="0" xfId="0" applyNumberFormat="1" applyFont="1" applyAlignment="1">
      <alignment/>
    </xf>
    <xf numFmtId="3" fontId="123" fillId="0" borderId="10" xfId="0" applyNumberFormat="1" applyFont="1" applyBorder="1" applyAlignment="1">
      <alignment/>
    </xf>
    <xf numFmtId="3" fontId="123" fillId="7" borderId="10" xfId="0" applyNumberFormat="1" applyFont="1" applyFill="1" applyBorder="1" applyAlignment="1">
      <alignment/>
    </xf>
    <xf numFmtId="3" fontId="123" fillId="0" borderId="10" xfId="0" applyNumberFormat="1" applyFont="1" applyBorder="1" applyAlignment="1">
      <alignment horizontal="right"/>
    </xf>
    <xf numFmtId="3" fontId="123" fillId="0" borderId="0" xfId="0" applyNumberFormat="1" applyFont="1" applyBorder="1" applyAlignment="1">
      <alignment/>
    </xf>
    <xf numFmtId="3" fontId="123" fillId="35" borderId="10" xfId="0" applyNumberFormat="1" applyFont="1" applyFill="1" applyBorder="1" applyAlignment="1">
      <alignment/>
    </xf>
    <xf numFmtId="0" fontId="82" fillId="0" borderId="0" xfId="0" applyNumberFormat="1" applyFont="1" applyFill="1" applyBorder="1" applyAlignment="1" applyProtection="1">
      <alignment/>
      <protection/>
    </xf>
    <xf numFmtId="0" fontId="83" fillId="33" borderId="0" xfId="0" applyNumberFormat="1" applyFont="1" applyFill="1" applyBorder="1" applyAlignment="1" applyProtection="1">
      <alignment/>
      <protection/>
    </xf>
    <xf numFmtId="0" fontId="84" fillId="0" borderId="0" xfId="0" applyNumberFormat="1" applyFont="1" applyFill="1" applyBorder="1" applyAlignment="1" applyProtection="1">
      <alignment/>
      <protection/>
    </xf>
    <xf numFmtId="0" fontId="63" fillId="33" borderId="0" xfId="0" applyNumberFormat="1" applyFont="1" applyFill="1" applyBorder="1" applyAlignment="1" applyProtection="1">
      <alignment horizontal="center"/>
      <protection/>
    </xf>
    <xf numFmtId="0" fontId="7" fillId="33" borderId="21" xfId="0" applyNumberFormat="1" applyFont="1" applyFill="1" applyBorder="1" applyAlignment="1" applyProtection="1">
      <alignment horizontal="left" vertical="top" wrapText="1"/>
      <protection/>
    </xf>
    <xf numFmtId="0" fontId="7" fillId="0" borderId="0" xfId="0" applyNumberFormat="1" applyFont="1" applyBorder="1" applyAlignment="1" applyProtection="1">
      <alignment horizontal="left" vertical="top" wrapText="1"/>
      <protection/>
    </xf>
    <xf numFmtId="0" fontId="7" fillId="33" borderId="0" xfId="0" applyNumberFormat="1" applyFont="1" applyFill="1" applyBorder="1" applyAlignment="1" applyProtection="1">
      <alignment horizontal="left" vertical="top" wrapText="1"/>
      <protection/>
    </xf>
    <xf numFmtId="0" fontId="2" fillId="33" borderId="0" xfId="0" applyNumberFormat="1" applyFont="1" applyFill="1" applyBorder="1" applyAlignment="1" applyProtection="1">
      <alignment horizontal="center" vertical="center" wrapText="1"/>
      <protection/>
    </xf>
    <xf numFmtId="3" fontId="2" fillId="33" borderId="22" xfId="0" applyNumberFormat="1" applyFont="1" applyFill="1" applyBorder="1" applyAlignment="1" applyProtection="1">
      <alignment horizontal="right" vertical="center" wrapText="1"/>
      <protection/>
    </xf>
    <xf numFmtId="3" fontId="2" fillId="36" borderId="23" xfId="0" applyNumberFormat="1" applyFont="1" applyFill="1" applyBorder="1" applyAlignment="1" applyProtection="1">
      <alignment horizontal="right" vertical="center" wrapText="1"/>
      <protection/>
    </xf>
    <xf numFmtId="49" fontId="2" fillId="37" borderId="10" xfId="0" applyNumberFormat="1" applyFont="1" applyFill="1" applyBorder="1" applyAlignment="1" applyProtection="1">
      <alignment horizontal="center" vertical="center" wrapText="1"/>
      <protection/>
    </xf>
    <xf numFmtId="49" fontId="7" fillId="38" borderId="10" xfId="0" applyNumberFormat="1" applyFont="1" applyFill="1" applyBorder="1" applyAlignment="1" applyProtection="1">
      <alignment horizontal="left" vertical="center" wrapText="1"/>
      <protection/>
    </xf>
    <xf numFmtId="0" fontId="7" fillId="33" borderId="10" xfId="0" applyNumberFormat="1" applyFont="1" applyFill="1" applyBorder="1" applyAlignment="1" applyProtection="1">
      <alignment horizontal="left" vertical="center" wrapText="1"/>
      <protection/>
    </xf>
    <xf numFmtId="3" fontId="7" fillId="33" borderId="10" xfId="0" applyNumberFormat="1" applyFont="1" applyFill="1" applyBorder="1" applyAlignment="1" applyProtection="1">
      <alignment horizontal="right" vertical="center" wrapText="1"/>
      <protection/>
    </xf>
    <xf numFmtId="49" fontId="3" fillId="38" borderId="10" xfId="0" applyNumberFormat="1" applyFont="1" applyFill="1" applyBorder="1" applyAlignment="1" applyProtection="1">
      <alignment horizontal="left" vertical="center" wrapText="1"/>
      <protection/>
    </xf>
    <xf numFmtId="3" fontId="3" fillId="0" borderId="10" xfId="0" applyNumberFormat="1" applyFont="1" applyBorder="1" applyAlignment="1" applyProtection="1">
      <alignment horizontal="right" vertical="center" wrapText="1"/>
      <protection/>
    </xf>
    <xf numFmtId="49" fontId="3" fillId="0" borderId="10" xfId="0" applyNumberFormat="1" applyFont="1" applyBorder="1" applyAlignment="1" applyProtection="1">
      <alignment horizontal="left" vertical="center" wrapText="1"/>
      <protection/>
    </xf>
    <xf numFmtId="3" fontId="7" fillId="38" borderId="10" xfId="0" applyNumberFormat="1" applyFont="1" applyFill="1" applyBorder="1" applyAlignment="1" applyProtection="1">
      <alignment horizontal="right" vertical="center" wrapText="1"/>
      <protection/>
    </xf>
    <xf numFmtId="49" fontId="7" fillId="0" borderId="10" xfId="0" applyNumberFormat="1" applyFont="1" applyBorder="1" applyAlignment="1" applyProtection="1">
      <alignment horizontal="left" vertical="center" wrapText="1"/>
      <protection/>
    </xf>
    <xf numFmtId="3" fontId="7" fillId="0" borderId="10" xfId="0" applyNumberFormat="1" applyFont="1" applyBorder="1" applyAlignment="1" applyProtection="1">
      <alignment horizontal="right" vertical="center" wrapText="1"/>
      <protection/>
    </xf>
    <xf numFmtId="49" fontId="8" fillId="0" borderId="10" xfId="0" applyNumberFormat="1" applyFont="1" applyBorder="1" applyAlignment="1" applyProtection="1">
      <alignment horizontal="left" vertical="center" wrapText="1"/>
      <protection/>
    </xf>
    <xf numFmtId="3" fontId="8" fillId="0" borderId="10" xfId="0" applyNumberFormat="1" applyFont="1" applyBorder="1" applyAlignment="1" applyProtection="1">
      <alignment horizontal="right" vertical="center" wrapText="1"/>
      <protection/>
    </xf>
    <xf numFmtId="3" fontId="8" fillId="33" borderId="10" xfId="0" applyNumberFormat="1" applyFont="1" applyFill="1" applyBorder="1" applyAlignment="1" applyProtection="1">
      <alignment horizontal="right" vertical="center" wrapText="1"/>
      <protection/>
    </xf>
    <xf numFmtId="49" fontId="8" fillId="38" borderId="10" xfId="0" applyNumberFormat="1" applyFont="1" applyFill="1" applyBorder="1" applyAlignment="1" applyProtection="1">
      <alignment horizontal="left" vertical="center" wrapText="1"/>
      <protection/>
    </xf>
    <xf numFmtId="3" fontId="8" fillId="38" borderId="10" xfId="0" applyNumberFormat="1" applyFont="1" applyFill="1" applyBorder="1" applyAlignment="1" applyProtection="1">
      <alignment horizontal="right" vertical="center" wrapText="1"/>
      <protection/>
    </xf>
    <xf numFmtId="49" fontId="2" fillId="0" borderId="10" xfId="0" applyNumberFormat="1" applyFont="1" applyBorder="1" applyAlignment="1" applyProtection="1">
      <alignment horizontal="left" vertical="center" wrapText="1"/>
      <protection/>
    </xf>
    <xf numFmtId="3" fontId="2" fillId="0" borderId="10" xfId="0" applyNumberFormat="1" applyFont="1" applyBorder="1" applyAlignment="1" applyProtection="1">
      <alignment horizontal="right" vertical="center" wrapText="1"/>
      <protection/>
    </xf>
    <xf numFmtId="49" fontId="2" fillId="38" borderId="10" xfId="0" applyNumberFormat="1" applyFont="1" applyFill="1" applyBorder="1" applyAlignment="1" applyProtection="1">
      <alignment horizontal="left" vertical="center" wrapText="1"/>
      <protection/>
    </xf>
    <xf numFmtId="3" fontId="2" fillId="38" borderId="10" xfId="0" applyNumberFormat="1" applyFont="1" applyFill="1" applyBorder="1" applyAlignment="1" applyProtection="1">
      <alignment horizontal="right" vertical="center" wrapText="1"/>
      <protection/>
    </xf>
    <xf numFmtId="49" fontId="7" fillId="13" borderId="10" xfId="0" applyNumberFormat="1" applyFont="1" applyFill="1" applyBorder="1" applyAlignment="1" applyProtection="1">
      <alignment horizontal="left" vertical="center" wrapText="1"/>
      <protection/>
    </xf>
    <xf numFmtId="3" fontId="7" fillId="13" borderId="10" xfId="0" applyNumberFormat="1" applyFont="1" applyFill="1" applyBorder="1" applyAlignment="1" applyProtection="1">
      <alignment horizontal="right" vertical="center" wrapText="1"/>
      <protection/>
    </xf>
    <xf numFmtId="49" fontId="2" fillId="36" borderId="10" xfId="0" applyNumberFormat="1" applyFont="1" applyFill="1" applyBorder="1" applyAlignment="1" applyProtection="1">
      <alignment horizontal="left" vertical="center" wrapText="1"/>
      <protection/>
    </xf>
    <xf numFmtId="3" fontId="2" fillId="36" borderId="10" xfId="0" applyNumberFormat="1" applyFont="1" applyFill="1" applyBorder="1" applyAlignment="1" applyProtection="1">
      <alignment horizontal="right" vertical="center" wrapText="1"/>
      <protection/>
    </xf>
    <xf numFmtId="49" fontId="7" fillId="33" borderId="10" xfId="0"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horizontal="center" vertical="center" wrapText="1"/>
      <protection/>
    </xf>
    <xf numFmtId="49" fontId="23" fillId="38" borderId="10" xfId="0" applyNumberFormat="1" applyFont="1" applyFill="1" applyBorder="1" applyAlignment="1" applyProtection="1">
      <alignment horizontal="left" vertical="center" wrapText="1"/>
      <protection/>
    </xf>
    <xf numFmtId="3" fontId="23" fillId="38" borderId="10" xfId="0" applyNumberFormat="1" applyFont="1" applyFill="1" applyBorder="1" applyAlignment="1" applyProtection="1">
      <alignment horizontal="right" vertical="center" wrapText="1"/>
      <protection/>
    </xf>
    <xf numFmtId="3" fontId="3" fillId="38" borderId="10" xfId="0" applyNumberFormat="1" applyFont="1" applyFill="1" applyBorder="1" applyAlignment="1" applyProtection="1">
      <alignment horizontal="right" vertical="center" wrapText="1"/>
      <protection/>
    </xf>
    <xf numFmtId="49" fontId="6" fillId="33" borderId="10" xfId="0" applyNumberFormat="1" applyFont="1" applyFill="1" applyBorder="1" applyAlignment="1" applyProtection="1">
      <alignment horizontal="left" vertical="center" wrapText="1"/>
      <protection/>
    </xf>
    <xf numFmtId="49" fontId="23" fillId="38" borderId="10" xfId="0" applyNumberFormat="1" applyFont="1" applyFill="1" applyBorder="1" applyAlignment="1" applyProtection="1">
      <alignment horizontal="left" vertical="center" wrapText="1"/>
      <protection/>
    </xf>
    <xf numFmtId="49" fontId="23" fillId="0" borderId="10" xfId="0" applyNumberFormat="1" applyFont="1" applyBorder="1" applyAlignment="1" applyProtection="1">
      <alignment horizontal="left" vertical="center" wrapText="1"/>
      <protection/>
    </xf>
    <xf numFmtId="3" fontId="23" fillId="0" borderId="10" xfId="0" applyNumberFormat="1" applyFont="1" applyBorder="1" applyAlignment="1" applyProtection="1">
      <alignment horizontal="right" vertical="center" wrapText="1"/>
      <protection/>
    </xf>
    <xf numFmtId="49" fontId="2" fillId="33" borderId="10" xfId="0" applyNumberFormat="1" applyFont="1" applyFill="1" applyBorder="1" applyAlignment="1" applyProtection="1">
      <alignment horizontal="left" vertical="center" wrapText="1"/>
      <protection/>
    </xf>
    <xf numFmtId="3" fontId="2" fillId="33" borderId="10" xfId="0" applyNumberFormat="1" applyFont="1" applyFill="1" applyBorder="1" applyAlignment="1" applyProtection="1">
      <alignment horizontal="right" vertical="center" wrapText="1"/>
      <protection/>
    </xf>
    <xf numFmtId="49" fontId="23" fillId="0" borderId="10" xfId="0" applyNumberFormat="1" applyFont="1" applyBorder="1" applyAlignment="1" applyProtection="1">
      <alignment horizontal="left" vertical="center" wrapText="1"/>
      <protection/>
    </xf>
    <xf numFmtId="3" fontId="7" fillId="38" borderId="10" xfId="0" applyNumberFormat="1" applyFont="1" applyFill="1" applyBorder="1" applyAlignment="1" applyProtection="1">
      <alignment horizontal="right" vertical="center" wrapText="1"/>
      <protection/>
    </xf>
    <xf numFmtId="49" fontId="7" fillId="3" borderId="10" xfId="0" applyNumberFormat="1" applyFont="1" applyFill="1" applyBorder="1" applyAlignment="1" applyProtection="1">
      <alignment horizontal="left" vertical="center" wrapText="1"/>
      <protection/>
    </xf>
    <xf numFmtId="3" fontId="7" fillId="3" borderId="10" xfId="0" applyNumberFormat="1" applyFont="1" applyFill="1" applyBorder="1" applyAlignment="1" applyProtection="1">
      <alignment horizontal="right" vertical="center" wrapText="1"/>
      <protection/>
    </xf>
    <xf numFmtId="49" fontId="2" fillId="0" borderId="10" xfId="0" applyNumberFormat="1" applyFont="1" applyBorder="1" applyAlignment="1" applyProtection="1">
      <alignment horizontal="left" vertical="center" wrapText="1"/>
      <protection/>
    </xf>
    <xf numFmtId="3" fontId="7" fillId="3" borderId="10" xfId="0" applyNumberFormat="1" applyFont="1" applyFill="1" applyBorder="1" applyAlignment="1" applyProtection="1">
      <alignment horizontal="right" vertical="center" wrapText="1"/>
      <protection/>
    </xf>
    <xf numFmtId="49" fontId="3" fillId="38" borderId="10" xfId="0" applyNumberFormat="1" applyFont="1" applyFill="1" applyBorder="1" applyAlignment="1" applyProtection="1">
      <alignment horizontal="left" vertical="center" wrapText="1"/>
      <protection/>
    </xf>
    <xf numFmtId="3" fontId="3" fillId="38" borderId="10" xfId="0" applyNumberFormat="1" applyFont="1" applyFill="1" applyBorder="1" applyAlignment="1" applyProtection="1">
      <alignment horizontal="right" vertical="center" wrapText="1"/>
      <protection/>
    </xf>
    <xf numFmtId="0" fontId="2" fillId="33" borderId="24" xfId="0" applyNumberFormat="1" applyFont="1" applyFill="1" applyBorder="1" applyAlignment="1" applyProtection="1">
      <alignment horizontal="center" vertical="center" wrapText="1"/>
      <protection/>
    </xf>
    <xf numFmtId="3" fontId="7" fillId="33" borderId="24" xfId="0" applyNumberFormat="1" applyFont="1" applyFill="1" applyBorder="1" applyAlignment="1" applyProtection="1">
      <alignment horizontal="right" vertical="center" wrapText="1"/>
      <protection/>
    </xf>
    <xf numFmtId="3" fontId="3" fillId="33" borderId="24" xfId="0" applyNumberFormat="1" applyFont="1" applyFill="1" applyBorder="1" applyAlignment="1" applyProtection="1">
      <alignment horizontal="right" vertical="center" wrapText="1"/>
      <protection/>
    </xf>
    <xf numFmtId="3" fontId="8" fillId="33" borderId="24" xfId="0" applyNumberFormat="1" applyFont="1" applyFill="1" applyBorder="1" applyAlignment="1" applyProtection="1">
      <alignment horizontal="right" vertical="center" wrapText="1"/>
      <protection/>
    </xf>
    <xf numFmtId="3" fontId="2" fillId="33" borderId="24" xfId="0" applyNumberFormat="1" applyFont="1" applyFill="1" applyBorder="1" applyAlignment="1" applyProtection="1">
      <alignment horizontal="right" vertical="center" wrapText="1"/>
      <protection/>
    </xf>
    <xf numFmtId="0" fontId="7" fillId="33" borderId="24" xfId="0" applyNumberFormat="1" applyFont="1" applyFill="1" applyBorder="1" applyAlignment="1" applyProtection="1">
      <alignment horizontal="center" vertical="center" wrapText="1"/>
      <protection/>
    </xf>
    <xf numFmtId="3" fontId="23" fillId="33" borderId="24" xfId="0" applyNumberFormat="1" applyFont="1" applyFill="1" applyBorder="1" applyAlignment="1" applyProtection="1">
      <alignment horizontal="right" vertical="center" wrapText="1"/>
      <protection/>
    </xf>
    <xf numFmtId="3" fontId="7" fillId="33" borderId="24" xfId="0" applyNumberFormat="1" applyFont="1" applyFill="1" applyBorder="1" applyAlignment="1" applyProtection="1">
      <alignment horizontal="right" vertical="center" wrapText="1"/>
      <protection/>
    </xf>
    <xf numFmtId="3" fontId="3" fillId="33" borderId="24" xfId="0" applyNumberFormat="1" applyFont="1" applyFill="1" applyBorder="1" applyAlignment="1" applyProtection="1">
      <alignment horizontal="right" vertical="center" wrapText="1"/>
      <protection/>
    </xf>
    <xf numFmtId="3" fontId="3" fillId="13" borderId="10" xfId="0" applyNumberFormat="1" applyFont="1" applyFill="1" applyBorder="1" applyAlignment="1" applyProtection="1">
      <alignment horizontal="right" vertical="center" wrapText="1"/>
      <protection/>
    </xf>
    <xf numFmtId="3" fontId="8" fillId="13" borderId="10" xfId="0" applyNumberFormat="1" applyFont="1" applyFill="1" applyBorder="1" applyAlignment="1" applyProtection="1">
      <alignment horizontal="right" vertical="center" wrapText="1"/>
      <protection/>
    </xf>
    <xf numFmtId="3" fontId="2" fillId="13" borderId="10" xfId="0" applyNumberFormat="1" applyFont="1" applyFill="1" applyBorder="1" applyAlignment="1" applyProtection="1">
      <alignment horizontal="right" vertical="center" wrapText="1"/>
      <protection/>
    </xf>
    <xf numFmtId="179" fontId="2" fillId="36" borderId="10" xfId="0" applyNumberFormat="1" applyFont="1" applyFill="1" applyBorder="1" applyAlignment="1" applyProtection="1">
      <alignment horizontal="right" vertical="center" wrapText="1"/>
      <protection/>
    </xf>
    <xf numFmtId="3" fontId="23" fillId="13" borderId="10" xfId="0" applyNumberFormat="1" applyFont="1" applyFill="1" applyBorder="1" applyAlignment="1" applyProtection="1">
      <alignment horizontal="right" vertical="center" wrapText="1"/>
      <protection/>
    </xf>
    <xf numFmtId="3" fontId="7" fillId="13" borderId="10" xfId="0" applyNumberFormat="1" applyFont="1" applyFill="1" applyBorder="1" applyAlignment="1" applyProtection="1">
      <alignment horizontal="right" vertical="center" wrapText="1"/>
      <protection/>
    </xf>
    <xf numFmtId="3" fontId="3" fillId="13" borderId="10" xfId="0" applyNumberFormat="1" applyFont="1" applyFill="1" applyBorder="1" applyAlignment="1" applyProtection="1">
      <alignment horizontal="right" vertical="center" wrapText="1"/>
      <protection/>
    </xf>
    <xf numFmtId="0" fontId="7" fillId="33" borderId="0" xfId="0" applyNumberFormat="1" applyFont="1" applyFill="1" applyAlignment="1" applyProtection="1">
      <alignment horizontal="left" vertical="top" wrapText="1"/>
      <protection/>
    </xf>
    <xf numFmtId="179" fontId="2" fillId="33" borderId="24" xfId="0" applyNumberFormat="1" applyFont="1" applyFill="1" applyBorder="1" applyAlignment="1" applyProtection="1">
      <alignment horizontal="right" vertical="center" wrapText="1"/>
      <protection/>
    </xf>
    <xf numFmtId="3" fontId="24" fillId="0" borderId="10" xfId="0" applyNumberFormat="1" applyFont="1" applyBorder="1" applyAlignment="1" applyProtection="1">
      <alignment horizontal="right" vertical="center" wrapText="1"/>
      <protection/>
    </xf>
    <xf numFmtId="3" fontId="124" fillId="38" borderId="10" xfId="0" applyNumberFormat="1" applyFont="1" applyFill="1" applyBorder="1" applyAlignment="1" applyProtection="1">
      <alignment horizontal="right" vertical="center" wrapText="1"/>
      <protection/>
    </xf>
    <xf numFmtId="0" fontId="2" fillId="4" borderId="10" xfId="0" applyNumberFormat="1" applyFont="1" applyFill="1" applyBorder="1" applyAlignment="1" applyProtection="1">
      <alignment horizontal="center" vertical="center" wrapText="1"/>
      <protection/>
    </xf>
    <xf numFmtId="3" fontId="7" fillId="4" borderId="10" xfId="0" applyNumberFormat="1" applyFont="1" applyFill="1" applyBorder="1" applyAlignment="1" applyProtection="1">
      <alignment horizontal="right" vertical="center" wrapText="1"/>
      <protection/>
    </xf>
    <xf numFmtId="3" fontId="3" fillId="4" borderId="10" xfId="0" applyNumberFormat="1" applyFont="1" applyFill="1" applyBorder="1" applyAlignment="1" applyProtection="1">
      <alignment horizontal="right" vertical="center" wrapText="1"/>
      <protection/>
    </xf>
    <xf numFmtId="3" fontId="8" fillId="4" borderId="10" xfId="0" applyNumberFormat="1" applyFont="1" applyFill="1" applyBorder="1" applyAlignment="1" applyProtection="1">
      <alignment horizontal="right" vertical="center" wrapText="1"/>
      <protection/>
    </xf>
    <xf numFmtId="3" fontId="2" fillId="4" borderId="10" xfId="0" applyNumberFormat="1" applyFont="1" applyFill="1" applyBorder="1" applyAlignment="1" applyProtection="1">
      <alignment horizontal="right" vertical="center" wrapText="1"/>
      <protection/>
    </xf>
    <xf numFmtId="3" fontId="23" fillId="4" borderId="10" xfId="0" applyNumberFormat="1" applyFont="1" applyFill="1" applyBorder="1" applyAlignment="1" applyProtection="1">
      <alignment horizontal="right" vertical="center" wrapText="1"/>
      <protection/>
    </xf>
    <xf numFmtId="3" fontId="7" fillId="4" borderId="10" xfId="0" applyNumberFormat="1" applyFont="1" applyFill="1" applyBorder="1" applyAlignment="1" applyProtection="1">
      <alignment horizontal="right" vertical="center" wrapText="1"/>
      <protection/>
    </xf>
    <xf numFmtId="3" fontId="3" fillId="4" borderId="10" xfId="0" applyNumberFormat="1" applyFont="1" applyFill="1" applyBorder="1" applyAlignment="1" applyProtection="1">
      <alignment horizontal="right" vertical="center" wrapText="1"/>
      <protection/>
    </xf>
    <xf numFmtId="0" fontId="2" fillId="37" borderId="10" xfId="0" applyNumberFormat="1" applyFont="1" applyFill="1" applyBorder="1" applyAlignment="1" applyProtection="1">
      <alignment horizontal="center" vertical="center" wrapText="1"/>
      <protection/>
    </xf>
    <xf numFmtId="49" fontId="8" fillId="33" borderId="10" xfId="0" applyNumberFormat="1" applyFont="1" applyFill="1" applyBorder="1" applyAlignment="1" applyProtection="1">
      <alignment horizontal="left" vertical="center" wrapText="1"/>
      <protection/>
    </xf>
    <xf numFmtId="0" fontId="64" fillId="33" borderId="0" xfId="0" applyNumberFormat="1" applyFont="1" applyFill="1" applyBorder="1" applyAlignment="1" applyProtection="1">
      <alignment/>
      <protection/>
    </xf>
    <xf numFmtId="0" fontId="2" fillId="33" borderId="25" xfId="0" applyNumberFormat="1" applyFont="1" applyFill="1" applyBorder="1" applyAlignment="1" applyProtection="1">
      <alignment horizontal="center" vertical="center" wrapText="1"/>
      <protection/>
    </xf>
    <xf numFmtId="3" fontId="7" fillId="33" borderId="25" xfId="0" applyNumberFormat="1" applyFont="1" applyFill="1" applyBorder="1" applyAlignment="1" applyProtection="1">
      <alignment horizontal="right" vertical="center" wrapText="1"/>
      <protection/>
    </xf>
    <xf numFmtId="3" fontId="3" fillId="33" borderId="25" xfId="0" applyNumberFormat="1" applyFont="1" applyFill="1" applyBorder="1" applyAlignment="1" applyProtection="1">
      <alignment horizontal="right" vertical="center" wrapText="1"/>
      <protection/>
    </xf>
    <xf numFmtId="3" fontId="8" fillId="33" borderId="25" xfId="0" applyNumberFormat="1" applyFont="1" applyFill="1" applyBorder="1" applyAlignment="1" applyProtection="1">
      <alignment horizontal="right" vertical="center" wrapText="1"/>
      <protection/>
    </xf>
    <xf numFmtId="3" fontId="2" fillId="33" borderId="25" xfId="0" applyNumberFormat="1" applyFont="1" applyFill="1" applyBorder="1" applyAlignment="1" applyProtection="1">
      <alignment horizontal="right" vertical="center" wrapText="1"/>
      <protection/>
    </xf>
    <xf numFmtId="0" fontId="7" fillId="33" borderId="25" xfId="0" applyNumberFormat="1" applyFont="1" applyFill="1" applyBorder="1" applyAlignment="1" applyProtection="1">
      <alignment horizontal="center" vertical="center" wrapText="1"/>
      <protection/>
    </xf>
    <xf numFmtId="3" fontId="23" fillId="33" borderId="25" xfId="0" applyNumberFormat="1" applyFont="1" applyFill="1" applyBorder="1" applyAlignment="1" applyProtection="1">
      <alignment horizontal="right" vertical="center" wrapText="1"/>
      <protection/>
    </xf>
    <xf numFmtId="3" fontId="7" fillId="33" borderId="25" xfId="0" applyNumberFormat="1" applyFont="1" applyFill="1" applyBorder="1" applyAlignment="1" applyProtection="1">
      <alignment horizontal="right" vertical="center" wrapText="1"/>
      <protection/>
    </xf>
    <xf numFmtId="3" fontId="7" fillId="33" borderId="12" xfId="0" applyNumberFormat="1" applyFont="1" applyFill="1" applyBorder="1" applyAlignment="1" applyProtection="1">
      <alignment horizontal="right" vertical="center" wrapText="1"/>
      <protection/>
    </xf>
    <xf numFmtId="3" fontId="2" fillId="36" borderId="26" xfId="0" applyNumberFormat="1" applyFont="1" applyFill="1" applyBorder="1" applyAlignment="1" applyProtection="1">
      <alignment horizontal="right" vertical="center" wrapText="1"/>
      <protection/>
    </xf>
    <xf numFmtId="3" fontId="2" fillId="33" borderId="27" xfId="0" applyNumberFormat="1" applyFont="1" applyFill="1" applyBorder="1" applyAlignment="1" applyProtection="1">
      <alignment horizontal="right" vertical="center" wrapText="1"/>
      <protection/>
    </xf>
    <xf numFmtId="0" fontId="63" fillId="33" borderId="10" xfId="0" applyNumberFormat="1" applyFont="1" applyFill="1" applyBorder="1" applyAlignment="1" applyProtection="1">
      <alignment/>
      <protection/>
    </xf>
    <xf numFmtId="0" fontId="7" fillId="33" borderId="10" xfId="0" applyNumberFormat="1" applyFont="1" applyFill="1" applyBorder="1" applyAlignment="1" applyProtection="1">
      <alignment horizontal="center" vertical="center" wrapText="1"/>
      <protection/>
    </xf>
    <xf numFmtId="3" fontId="3" fillId="0" borderId="10" xfId="0" applyNumberFormat="1" applyFont="1" applyBorder="1" applyAlignment="1" applyProtection="1">
      <alignment horizontal="right" vertical="center" wrapText="1"/>
      <protection/>
    </xf>
    <xf numFmtId="3" fontId="3" fillId="33" borderId="10" xfId="0" applyNumberFormat="1" applyFont="1" applyFill="1" applyBorder="1" applyAlignment="1" applyProtection="1">
      <alignment horizontal="right" vertical="center" wrapText="1"/>
      <protection/>
    </xf>
    <xf numFmtId="3" fontId="3" fillId="3" borderId="10" xfId="0" applyNumberFormat="1" applyFont="1" applyFill="1" applyBorder="1" applyAlignment="1" applyProtection="1">
      <alignment horizontal="right" vertical="center" wrapText="1"/>
      <protection/>
    </xf>
    <xf numFmtId="3" fontId="8" fillId="3" borderId="10" xfId="0" applyNumberFormat="1" applyFont="1" applyFill="1" applyBorder="1" applyAlignment="1" applyProtection="1">
      <alignment horizontal="right" vertical="center" wrapText="1"/>
      <protection/>
    </xf>
    <xf numFmtId="3" fontId="2" fillId="3" borderId="10" xfId="0" applyNumberFormat="1" applyFont="1" applyFill="1" applyBorder="1" applyAlignment="1" applyProtection="1">
      <alignment horizontal="right" vertical="center" wrapText="1"/>
      <protection/>
    </xf>
    <xf numFmtId="3" fontId="23" fillId="3" borderId="10" xfId="0" applyNumberFormat="1" applyFont="1" applyFill="1" applyBorder="1" applyAlignment="1" applyProtection="1">
      <alignment horizontal="right" vertical="center" wrapText="1"/>
      <protection/>
    </xf>
    <xf numFmtId="3" fontId="3" fillId="3" borderId="10" xfId="0" applyNumberFormat="1" applyFont="1" applyFill="1" applyBorder="1" applyAlignment="1" applyProtection="1">
      <alignment horizontal="right" vertical="center" wrapText="1"/>
      <protection/>
    </xf>
    <xf numFmtId="0" fontId="63" fillId="33" borderId="21" xfId="0" applyFont="1" applyFill="1" applyBorder="1" applyAlignment="1">
      <alignment horizontal="center" vertical="center" wrapText="1"/>
    </xf>
    <xf numFmtId="0" fontId="63" fillId="33" borderId="0" xfId="0" applyFont="1" applyFill="1" applyBorder="1" applyAlignment="1">
      <alignment horizontal="center" vertical="center" wrapText="1"/>
    </xf>
    <xf numFmtId="3" fontId="3" fillId="33" borderId="25" xfId="0" applyNumberFormat="1" applyFont="1" applyFill="1" applyBorder="1" applyAlignment="1" applyProtection="1">
      <alignment horizontal="right" vertical="center" wrapText="1"/>
      <protection/>
    </xf>
    <xf numFmtId="3" fontId="125" fillId="38" borderId="10" xfId="0" applyNumberFormat="1" applyFont="1" applyFill="1" applyBorder="1" applyAlignment="1" applyProtection="1">
      <alignment horizontal="right" vertical="center" wrapText="1"/>
      <protection/>
    </xf>
    <xf numFmtId="3" fontId="14" fillId="7" borderId="10" xfId="54" applyNumberFormat="1" applyFont="1" applyFill="1" applyBorder="1" applyAlignment="1">
      <alignment horizontal="right" vertical="center"/>
      <protection/>
    </xf>
    <xf numFmtId="0" fontId="28" fillId="0" borderId="0" xfId="0" applyNumberFormat="1" applyFont="1" applyBorder="1" applyAlignment="1" applyProtection="1">
      <alignment horizontal="left" vertical="top" wrapText="1"/>
      <protection/>
    </xf>
    <xf numFmtId="0" fontId="7" fillId="0" borderId="21" xfId="0" applyNumberFormat="1" applyFont="1" applyBorder="1" applyAlignment="1" applyProtection="1">
      <alignment horizontal="left" vertical="top"/>
      <protection/>
    </xf>
    <xf numFmtId="1" fontId="11" fillId="33" borderId="10" xfId="54" applyNumberFormat="1" applyFont="1" applyFill="1" applyBorder="1" applyAlignment="1">
      <alignment horizontal="center" vertical="center"/>
      <protection/>
    </xf>
    <xf numFmtId="0" fontId="11" fillId="33" borderId="10" xfId="54" applyFont="1" applyFill="1" applyBorder="1" applyAlignment="1">
      <alignment horizontal="center" vertical="center"/>
      <protection/>
    </xf>
    <xf numFmtId="3" fontId="11" fillId="33" borderId="10" xfId="54" applyNumberFormat="1" applyFont="1" applyFill="1" applyBorder="1" applyAlignment="1">
      <alignment horizontal="center" vertical="center"/>
      <protection/>
    </xf>
    <xf numFmtId="3" fontId="14" fillId="3" borderId="10" xfId="54" applyNumberFormat="1" applyFont="1" applyFill="1" applyBorder="1" applyAlignment="1">
      <alignment horizontal="right" vertical="center"/>
      <protection/>
    </xf>
    <xf numFmtId="3" fontId="13" fillId="13" borderId="10" xfId="55" applyNumberFormat="1" applyFont="1" applyFill="1" applyBorder="1" applyAlignment="1">
      <alignment horizontal="right" vertical="center" wrapText="1"/>
      <protection/>
    </xf>
    <xf numFmtId="3" fontId="8" fillId="33" borderId="0" xfId="0" applyNumberFormat="1" applyFont="1" applyFill="1" applyBorder="1" applyAlignment="1" applyProtection="1">
      <alignment horizontal="right" vertical="center" wrapText="1"/>
      <protection/>
    </xf>
    <xf numFmtId="0" fontId="7" fillId="33" borderId="0" xfId="0" applyNumberFormat="1" applyFont="1" applyFill="1" applyBorder="1" applyAlignment="1" applyProtection="1">
      <alignment horizontal="center" vertical="center" wrapText="1"/>
      <protection/>
    </xf>
    <xf numFmtId="3" fontId="2" fillId="33" borderId="0" xfId="0" applyNumberFormat="1" applyFont="1" applyFill="1" applyBorder="1" applyAlignment="1" applyProtection="1">
      <alignment horizontal="right" vertical="center" wrapText="1"/>
      <protection/>
    </xf>
    <xf numFmtId="3" fontId="7" fillId="33" borderId="0" xfId="0" applyNumberFormat="1" applyFont="1" applyFill="1" applyBorder="1" applyAlignment="1" applyProtection="1">
      <alignment horizontal="right" vertical="center" wrapText="1"/>
      <protection/>
    </xf>
    <xf numFmtId="3" fontId="3" fillId="33" borderId="0" xfId="0" applyNumberFormat="1" applyFont="1" applyFill="1" applyBorder="1" applyAlignment="1" applyProtection="1">
      <alignment horizontal="right" vertical="center" wrapText="1"/>
      <protection/>
    </xf>
    <xf numFmtId="3" fontId="23" fillId="33" borderId="0" xfId="0" applyNumberFormat="1" applyFont="1" applyFill="1" applyBorder="1" applyAlignment="1" applyProtection="1">
      <alignment horizontal="right" vertical="center" wrapText="1"/>
      <protection/>
    </xf>
    <xf numFmtId="3" fontId="7" fillId="33" borderId="0" xfId="0" applyNumberFormat="1" applyFont="1" applyFill="1" applyBorder="1" applyAlignment="1" applyProtection="1">
      <alignment horizontal="right" vertical="center" wrapText="1"/>
      <protection/>
    </xf>
    <xf numFmtId="3" fontId="3" fillId="33" borderId="0" xfId="0" applyNumberFormat="1" applyFont="1" applyFill="1" applyBorder="1" applyAlignment="1" applyProtection="1">
      <alignment horizontal="right" vertical="center" wrapText="1"/>
      <protection/>
    </xf>
    <xf numFmtId="0" fontId="83" fillId="33" borderId="0" xfId="0" applyNumberFormat="1" applyFont="1" applyFill="1" applyBorder="1" applyAlignment="1" applyProtection="1">
      <alignment horizontal="center"/>
      <protection/>
    </xf>
    <xf numFmtId="3" fontId="11" fillId="33" borderId="12" xfId="54" applyNumberFormat="1" applyFont="1" applyFill="1" applyBorder="1" applyAlignment="1">
      <alignment horizontal="center" vertical="center"/>
      <protection/>
    </xf>
    <xf numFmtId="3" fontId="11" fillId="33" borderId="28" xfId="54" applyNumberFormat="1" applyFont="1" applyFill="1" applyBorder="1" applyAlignment="1">
      <alignment horizontal="center" vertical="center"/>
      <protection/>
    </xf>
    <xf numFmtId="3" fontId="16" fillId="33" borderId="0" xfId="55" applyNumberFormat="1" applyFont="1" applyFill="1" applyBorder="1" applyAlignment="1">
      <alignment horizontal="right" vertical="center" wrapText="1"/>
      <protection/>
    </xf>
    <xf numFmtId="3" fontId="11" fillId="33" borderId="0" xfId="54" applyNumberFormat="1" applyFont="1" applyFill="1" applyBorder="1" applyAlignment="1">
      <alignment horizontal="center" vertical="center"/>
      <protection/>
    </xf>
    <xf numFmtId="3" fontId="13" fillId="6" borderId="0" xfId="55" applyNumberFormat="1" applyFont="1" applyFill="1" applyBorder="1" applyAlignment="1">
      <alignment horizontal="right" vertical="center" wrapText="1"/>
      <protection/>
    </xf>
    <xf numFmtId="3" fontId="13" fillId="33" borderId="0" xfId="54" applyNumberFormat="1" applyFont="1" applyFill="1" applyBorder="1" applyAlignment="1">
      <alignment horizontal="center" vertical="center" wrapText="1"/>
      <protection/>
    </xf>
    <xf numFmtId="3" fontId="13" fillId="33" borderId="0" xfId="55" applyNumberFormat="1" applyFont="1" applyFill="1" applyBorder="1" applyAlignment="1">
      <alignment horizontal="right" vertical="center" wrapText="1"/>
      <protection/>
    </xf>
    <xf numFmtId="3" fontId="10" fillId="33" borderId="0" xfId="54" applyNumberFormat="1" applyFont="1" applyFill="1" applyBorder="1" applyAlignment="1">
      <alignment horizontal="right" vertical="center"/>
      <protection/>
    </xf>
    <xf numFmtId="3" fontId="15" fillId="33" borderId="0" xfId="54" applyNumberFormat="1" applyFont="1" applyFill="1" applyBorder="1" applyAlignment="1">
      <alignment horizontal="right" vertical="center"/>
      <protection/>
    </xf>
    <xf numFmtId="3" fontId="11" fillId="3" borderId="10" xfId="54" applyNumberFormat="1" applyFont="1" applyFill="1" applyBorder="1" applyAlignment="1">
      <alignment horizontal="center" vertical="center"/>
      <protection/>
    </xf>
    <xf numFmtId="3" fontId="11" fillId="7" borderId="10" xfId="54" applyNumberFormat="1" applyFont="1" applyFill="1" applyBorder="1" applyAlignment="1">
      <alignment horizontal="center" vertical="center" wrapText="1"/>
      <protection/>
    </xf>
    <xf numFmtId="3" fontId="15" fillId="33" borderId="10" xfId="54" applyNumberFormat="1" applyFont="1" applyFill="1" applyBorder="1" applyAlignment="1">
      <alignment horizontal="right" vertical="center"/>
      <protection/>
    </xf>
    <xf numFmtId="3" fontId="11" fillId="13" borderId="10" xfId="54" applyNumberFormat="1" applyFont="1" applyFill="1" applyBorder="1" applyAlignment="1">
      <alignment horizontal="center" vertical="center" wrapText="1"/>
      <protection/>
    </xf>
    <xf numFmtId="3" fontId="14" fillId="13" borderId="10" xfId="54" applyNumberFormat="1" applyFont="1" applyFill="1" applyBorder="1" applyAlignment="1">
      <alignment horizontal="right" vertical="center"/>
      <protection/>
    </xf>
    <xf numFmtId="189" fontId="10" fillId="6" borderId="10" xfId="54" applyNumberFormat="1" applyFont="1" applyFill="1" applyBorder="1" applyAlignment="1" quotePrefix="1">
      <alignment horizontal="center" vertical="center"/>
      <protection/>
    </xf>
    <xf numFmtId="190" fontId="10" fillId="6" borderId="10" xfId="54" applyNumberFormat="1" applyFont="1" applyFill="1" applyBorder="1" applyAlignment="1">
      <alignment vertical="center"/>
      <protection/>
    </xf>
    <xf numFmtId="0" fontId="11" fillId="0" borderId="10" xfId="54" applyFont="1" applyFill="1" applyBorder="1" applyAlignment="1" quotePrefix="1">
      <alignment horizontal="center" vertical="center"/>
      <protection/>
    </xf>
    <xf numFmtId="0" fontId="12" fillId="0" borderId="10" xfId="54" applyFont="1" applyFill="1" applyBorder="1" applyAlignment="1">
      <alignment horizontal="left" vertical="center" wrapText="1"/>
      <protection/>
    </xf>
    <xf numFmtId="0" fontId="11" fillId="0" borderId="10" xfId="54" applyFont="1" applyFill="1" applyBorder="1" applyAlignment="1">
      <alignment horizontal="left" vertical="center" wrapText="1"/>
      <protection/>
    </xf>
    <xf numFmtId="3" fontId="11" fillId="7" borderId="10" xfId="54" applyNumberFormat="1" applyFont="1" applyFill="1" applyBorder="1" applyAlignment="1">
      <alignment horizontal="right" vertical="center"/>
      <protection/>
    </xf>
    <xf numFmtId="3" fontId="11" fillId="3" borderId="10" xfId="54" applyNumberFormat="1" applyFont="1" applyFill="1" applyBorder="1" applyAlignment="1">
      <alignment horizontal="right" vertical="center"/>
      <protection/>
    </xf>
    <xf numFmtId="3" fontId="11" fillId="33" borderId="0" xfId="54" applyNumberFormat="1" applyFont="1" applyFill="1" applyBorder="1" applyAlignment="1">
      <alignment horizontal="right" vertical="center"/>
      <protection/>
    </xf>
    <xf numFmtId="0" fontId="12" fillId="0" borderId="10" xfId="54" applyFont="1" applyFill="1" applyBorder="1" applyAlignment="1">
      <alignment horizontal="left" vertical="center"/>
      <protection/>
    </xf>
    <xf numFmtId="3" fontId="11" fillId="0" borderId="10" xfId="54" applyNumberFormat="1" applyFont="1" applyFill="1" applyBorder="1" applyAlignment="1">
      <alignment horizontal="right" vertical="center"/>
      <protection/>
    </xf>
    <xf numFmtId="3" fontId="11" fillId="13" borderId="10" xfId="54" applyNumberFormat="1" applyFont="1" applyFill="1" applyBorder="1" applyAlignment="1">
      <alignment horizontal="right" vertical="center"/>
      <protection/>
    </xf>
    <xf numFmtId="0" fontId="14" fillId="33" borderId="10" xfId="54" applyFont="1" applyFill="1" applyBorder="1" applyAlignment="1" quotePrefix="1">
      <alignment horizontal="center" vertical="center"/>
      <protection/>
    </xf>
    <xf numFmtId="0" fontId="14" fillId="33" borderId="10" xfId="54" applyFont="1" applyFill="1" applyBorder="1" applyAlignment="1">
      <alignment vertical="center" wrapText="1"/>
      <protection/>
    </xf>
    <xf numFmtId="0" fontId="14" fillId="33" borderId="10" xfId="54" applyFont="1" applyFill="1" applyBorder="1" applyAlignment="1">
      <alignment horizontal="left" vertical="center"/>
      <protection/>
    </xf>
    <xf numFmtId="0" fontId="14" fillId="33" borderId="10" xfId="54" applyFont="1" applyFill="1" applyBorder="1" applyAlignment="1">
      <alignment horizontal="left" vertical="center" wrapText="1"/>
      <protection/>
    </xf>
    <xf numFmtId="3" fontId="14" fillId="33" borderId="10" xfId="54" applyNumberFormat="1" applyFont="1" applyFill="1" applyBorder="1" applyAlignment="1" quotePrefix="1">
      <alignment horizontal="right" vertical="center"/>
      <protection/>
    </xf>
    <xf numFmtId="0" fontId="11" fillId="0" borderId="10" xfId="54" applyFont="1" applyFill="1" applyBorder="1" applyAlignment="1">
      <alignment horizontal="left" vertical="center"/>
      <protection/>
    </xf>
    <xf numFmtId="192" fontId="0" fillId="0" borderId="0" xfId="0" applyNumberFormat="1" applyFont="1" applyFill="1" applyAlignment="1" applyProtection="1">
      <alignment vertical="center" wrapText="1"/>
      <protection/>
    </xf>
    <xf numFmtId="192" fontId="29" fillId="0" borderId="0" xfId="0" applyNumberFormat="1" applyFont="1" applyFill="1" applyAlignment="1" applyProtection="1">
      <alignment horizontal="centerContinuous" vertical="center" wrapText="1"/>
      <protection/>
    </xf>
    <xf numFmtId="192" fontId="63" fillId="0" borderId="0" xfId="0" applyNumberFormat="1" applyFont="1" applyFill="1" applyAlignment="1" applyProtection="1">
      <alignment horizontal="centerContinuous" vertical="center"/>
      <protection/>
    </xf>
    <xf numFmtId="192" fontId="0" fillId="0" borderId="0" xfId="0" applyNumberFormat="1" applyFont="1" applyFill="1" applyAlignment="1" applyProtection="1">
      <alignment horizontal="centerContinuous" vertical="center"/>
      <protection/>
    </xf>
    <xf numFmtId="49" fontId="0" fillId="0" borderId="0" xfId="0" applyNumberFormat="1" applyFont="1" applyFill="1" applyAlignment="1" applyProtection="1">
      <alignment vertical="center" wrapText="1"/>
      <protection/>
    </xf>
    <xf numFmtId="192" fontId="0" fillId="0" borderId="0" xfId="0" applyNumberFormat="1" applyFont="1" applyFill="1" applyAlignment="1" applyProtection="1">
      <alignment horizontal="center" vertical="center" wrapText="1"/>
      <protection/>
    </xf>
    <xf numFmtId="192" fontId="63" fillId="0" borderId="0" xfId="0" applyNumberFormat="1" applyFont="1" applyFill="1" applyAlignment="1" applyProtection="1">
      <alignment vertical="center" wrapText="1"/>
      <protection/>
    </xf>
    <xf numFmtId="192" fontId="31" fillId="0" borderId="0" xfId="0" applyNumberFormat="1" applyFont="1" applyFill="1" applyAlignment="1" applyProtection="1">
      <alignment horizontal="right" vertical="center"/>
      <protection/>
    </xf>
    <xf numFmtId="192" fontId="32" fillId="10" borderId="29" xfId="0" applyNumberFormat="1" applyFont="1" applyFill="1" applyBorder="1" applyAlignment="1" applyProtection="1">
      <alignment horizontal="centerContinuous" vertical="center" wrapText="1"/>
      <protection/>
    </xf>
    <xf numFmtId="192" fontId="32" fillId="10" borderId="30" xfId="0" applyNumberFormat="1" applyFont="1" applyFill="1" applyBorder="1" applyAlignment="1" applyProtection="1">
      <alignment horizontal="centerContinuous" vertical="center" wrapText="1"/>
      <protection/>
    </xf>
    <xf numFmtId="192" fontId="32" fillId="10" borderId="31" xfId="0" applyNumberFormat="1" applyFont="1" applyFill="1" applyBorder="1" applyAlignment="1" applyProtection="1">
      <alignment horizontal="centerContinuous" vertical="center" wrapText="1"/>
      <protection/>
    </xf>
    <xf numFmtId="192" fontId="32" fillId="10" borderId="32" xfId="0" applyNumberFormat="1" applyFont="1" applyFill="1" applyBorder="1" applyAlignment="1" applyProtection="1">
      <alignment horizontal="centerContinuous" vertical="center" wrapText="1"/>
      <protection/>
    </xf>
    <xf numFmtId="192" fontId="32" fillId="10" borderId="29" xfId="0" applyNumberFormat="1" applyFont="1" applyFill="1" applyBorder="1" applyAlignment="1" applyProtection="1">
      <alignment horizontal="center" vertical="center" wrapText="1"/>
      <protection/>
    </xf>
    <xf numFmtId="192" fontId="32" fillId="10" borderId="30" xfId="0" applyNumberFormat="1" applyFont="1" applyFill="1" applyBorder="1" applyAlignment="1" applyProtection="1">
      <alignment horizontal="center" vertical="center" wrapText="1"/>
      <protection/>
    </xf>
    <xf numFmtId="192" fontId="32" fillId="10" borderId="33" xfId="0" applyNumberFormat="1" applyFont="1" applyFill="1" applyBorder="1" applyAlignment="1" applyProtection="1">
      <alignment horizontal="center" vertical="center" wrapText="1"/>
      <protection/>
    </xf>
    <xf numFmtId="192" fontId="32" fillId="10" borderId="31" xfId="0" applyNumberFormat="1" applyFont="1" applyFill="1" applyBorder="1" applyAlignment="1" applyProtection="1">
      <alignment horizontal="center" vertical="center" wrapText="1"/>
      <protection/>
    </xf>
    <xf numFmtId="49" fontId="31" fillId="0" borderId="0" xfId="0" applyNumberFormat="1" applyFont="1" applyFill="1" applyAlignment="1" applyProtection="1">
      <alignment horizontal="center" vertical="center" wrapText="1"/>
      <protection/>
    </xf>
    <xf numFmtId="192" fontId="31" fillId="0" borderId="0" xfId="0" applyNumberFormat="1" applyFont="1" applyFill="1" applyAlignment="1" applyProtection="1">
      <alignment horizontal="center" vertical="center" wrapText="1"/>
      <protection/>
    </xf>
    <xf numFmtId="192" fontId="33" fillId="10" borderId="34" xfId="0" applyNumberFormat="1" applyFont="1" applyFill="1" applyBorder="1" applyAlignment="1" applyProtection="1">
      <alignment horizontal="center" vertical="center" wrapText="1"/>
      <protection/>
    </xf>
    <xf numFmtId="192" fontId="33" fillId="10" borderId="29" xfId="0" applyNumberFormat="1" applyFont="1" applyFill="1" applyBorder="1" applyAlignment="1" applyProtection="1">
      <alignment horizontal="center" vertical="center" wrapText="1"/>
      <protection/>
    </xf>
    <xf numFmtId="192" fontId="33" fillId="10" borderId="30" xfId="0" applyNumberFormat="1" applyFont="1" applyFill="1" applyBorder="1" applyAlignment="1" applyProtection="1">
      <alignment horizontal="center" vertical="center" wrapText="1"/>
      <protection/>
    </xf>
    <xf numFmtId="192" fontId="33" fillId="10" borderId="31" xfId="0" applyNumberFormat="1" applyFont="1" applyFill="1" applyBorder="1" applyAlignment="1" applyProtection="1">
      <alignment horizontal="center" vertical="center" wrapText="1"/>
      <protection/>
    </xf>
    <xf numFmtId="192" fontId="33" fillId="10" borderId="32" xfId="0" applyNumberFormat="1" applyFont="1" applyFill="1" applyBorder="1" applyAlignment="1" applyProtection="1">
      <alignment horizontal="center" vertical="center" wrapText="1"/>
      <protection/>
    </xf>
    <xf numFmtId="49" fontId="33" fillId="0" borderId="0" xfId="0" applyNumberFormat="1" applyFont="1" applyFill="1" applyAlignment="1" applyProtection="1">
      <alignment horizontal="center" vertical="center" wrapText="1"/>
      <protection/>
    </xf>
    <xf numFmtId="192" fontId="33" fillId="0" borderId="0" xfId="0" applyNumberFormat="1" applyFont="1" applyFill="1" applyAlignment="1" applyProtection="1">
      <alignment horizontal="center" vertical="center" wrapText="1"/>
      <protection/>
    </xf>
    <xf numFmtId="192" fontId="0" fillId="0" borderId="35" xfId="0" applyNumberFormat="1" applyFont="1" applyFill="1" applyBorder="1" applyAlignment="1" applyProtection="1">
      <alignment horizontal="left" vertical="center" wrapText="1" indent="1"/>
      <protection/>
    </xf>
    <xf numFmtId="192" fontId="34" fillId="0" borderId="36" xfId="0" applyNumberFormat="1" applyFont="1" applyFill="1" applyBorder="1" applyAlignment="1" applyProtection="1">
      <alignment horizontal="left" vertical="center" wrapText="1" indent="1"/>
      <protection/>
    </xf>
    <xf numFmtId="192" fontId="34" fillId="0" borderId="37" xfId="0" applyNumberFormat="1" applyFont="1" applyFill="1" applyBorder="1" applyAlignment="1" applyProtection="1">
      <alignment horizontal="right" vertical="center" wrapText="1" indent="1"/>
      <protection locked="0"/>
    </xf>
    <xf numFmtId="192" fontId="34" fillId="0" borderId="38" xfId="0" applyNumberFormat="1" applyFont="1" applyFill="1" applyBorder="1" applyAlignment="1" applyProtection="1">
      <alignment horizontal="right" vertical="center" wrapText="1" indent="1"/>
      <protection locked="0"/>
    </xf>
    <xf numFmtId="192" fontId="34" fillId="0" borderId="39" xfId="0" applyNumberFormat="1" applyFont="1" applyFill="1" applyBorder="1" applyAlignment="1" applyProtection="1">
      <alignment horizontal="right" vertical="center" wrapText="1" indent="1"/>
      <protection locked="0"/>
    </xf>
    <xf numFmtId="192" fontId="0" fillId="0" borderId="40" xfId="0" applyNumberFormat="1" applyFont="1" applyFill="1" applyBorder="1" applyAlignment="1" applyProtection="1">
      <alignment horizontal="left" vertical="center" wrapText="1" indent="1"/>
      <protection/>
    </xf>
    <xf numFmtId="192" fontId="34" fillId="0" borderId="41" xfId="0" applyNumberFormat="1" applyFont="1" applyFill="1" applyBorder="1" applyAlignment="1" applyProtection="1">
      <alignment horizontal="left" vertical="center" wrapText="1" indent="1"/>
      <protection/>
    </xf>
    <xf numFmtId="192" fontId="34" fillId="0" borderId="10" xfId="0" applyNumberFormat="1" applyFont="1" applyFill="1" applyBorder="1" applyAlignment="1" applyProtection="1">
      <alignment horizontal="right" vertical="center" wrapText="1" indent="1"/>
      <protection locked="0"/>
    </xf>
    <xf numFmtId="192" fontId="34" fillId="0" borderId="12" xfId="0" applyNumberFormat="1" applyFont="1" applyFill="1" applyBorder="1" applyAlignment="1" applyProtection="1">
      <alignment horizontal="right" vertical="center" wrapText="1" indent="1"/>
      <protection locked="0"/>
    </xf>
    <xf numFmtId="192" fontId="34" fillId="0" borderId="42" xfId="0" applyNumberFormat="1" applyFont="1" applyFill="1" applyBorder="1" applyAlignment="1" applyProtection="1">
      <alignment horizontal="right" vertical="center" wrapText="1" indent="1"/>
      <protection locked="0"/>
    </xf>
    <xf numFmtId="192" fontId="34" fillId="0" borderId="43" xfId="0" applyNumberFormat="1" applyFont="1" applyFill="1" applyBorder="1" applyAlignment="1" applyProtection="1">
      <alignment horizontal="left" vertical="center" wrapText="1" indent="1"/>
      <protection/>
    </xf>
    <xf numFmtId="192" fontId="0" fillId="0" borderId="44" xfId="0" applyNumberFormat="1" applyFont="1" applyFill="1" applyBorder="1" applyAlignment="1" applyProtection="1">
      <alignment horizontal="left" vertical="center" wrapText="1" indent="1"/>
      <protection/>
    </xf>
    <xf numFmtId="192" fontId="34" fillId="0" borderId="45" xfId="0" applyNumberFormat="1" applyFont="1" applyFill="1" applyBorder="1" applyAlignment="1" applyProtection="1">
      <alignment horizontal="left" vertical="center" wrapText="1" indent="1"/>
      <protection/>
    </xf>
    <xf numFmtId="192" fontId="34" fillId="0" borderId="46" xfId="0" applyNumberFormat="1" applyFont="1" applyFill="1" applyBorder="1" applyAlignment="1" applyProtection="1">
      <alignment horizontal="right" vertical="center" wrapText="1" indent="1"/>
      <protection locked="0"/>
    </xf>
    <xf numFmtId="192" fontId="34" fillId="0" borderId="17" xfId="0" applyNumberFormat="1" applyFont="1" applyFill="1" applyBorder="1" applyAlignment="1" applyProtection="1">
      <alignment horizontal="right" vertical="center" wrapText="1" indent="1"/>
      <protection locked="0"/>
    </xf>
    <xf numFmtId="192" fontId="34" fillId="0" borderId="47" xfId="0" applyNumberFormat="1" applyFont="1" applyFill="1" applyBorder="1" applyAlignment="1" applyProtection="1">
      <alignment horizontal="right" vertical="center" wrapText="1" indent="1"/>
      <protection locked="0"/>
    </xf>
    <xf numFmtId="192" fontId="102" fillId="0" borderId="34" xfId="0" applyNumberFormat="1" applyFont="1" applyFill="1" applyBorder="1" applyAlignment="1" applyProtection="1">
      <alignment horizontal="left" vertical="center" wrapText="1" indent="1"/>
      <protection/>
    </xf>
    <xf numFmtId="192" fontId="33" fillId="0" borderId="29" xfId="0" applyNumberFormat="1" applyFont="1" applyFill="1" applyBorder="1" applyAlignment="1" applyProtection="1">
      <alignment horizontal="left" vertical="center" wrapText="1" indent="1"/>
      <protection locked="0"/>
    </xf>
    <xf numFmtId="192" fontId="33" fillId="0" borderId="30" xfId="0" applyNumberFormat="1" applyFont="1" applyFill="1" applyBorder="1" applyAlignment="1" applyProtection="1">
      <alignment horizontal="right" vertical="center" wrapText="1" indent="1"/>
      <protection locked="0"/>
    </xf>
    <xf numFmtId="192" fontId="33" fillId="0" borderId="32" xfId="0" applyNumberFormat="1" applyFont="1" applyFill="1" applyBorder="1" applyAlignment="1" applyProtection="1">
      <alignment horizontal="right" vertical="center" wrapText="1" indent="1"/>
      <protection locked="0"/>
    </xf>
    <xf numFmtId="49" fontId="102" fillId="0" borderId="0" xfId="0" applyNumberFormat="1" applyFont="1" applyFill="1" applyAlignment="1" applyProtection="1">
      <alignment vertical="center" wrapText="1"/>
      <protection/>
    </xf>
    <xf numFmtId="192" fontId="102" fillId="0" borderId="0" xfId="0" applyNumberFormat="1" applyFont="1" applyFill="1" applyAlignment="1" applyProtection="1">
      <alignment vertical="center" wrapText="1"/>
      <protection/>
    </xf>
    <xf numFmtId="192" fontId="0" fillId="0" borderId="48" xfId="0" applyNumberFormat="1" applyFont="1" applyFill="1" applyBorder="1" applyAlignment="1" applyProtection="1">
      <alignment horizontal="left" vertical="center" wrapText="1" indent="1"/>
      <protection/>
    </xf>
    <xf numFmtId="0" fontId="35" fillId="33" borderId="49" xfId="54" applyFont="1" applyFill="1" applyBorder="1" applyAlignment="1">
      <alignment horizontal="left" vertical="center" wrapText="1"/>
      <protection/>
    </xf>
    <xf numFmtId="192" fontId="34" fillId="0" borderId="49" xfId="0" applyNumberFormat="1" applyFont="1" applyFill="1" applyBorder="1" applyAlignment="1" applyProtection="1">
      <alignment horizontal="right" vertical="center" wrapText="1" indent="1"/>
      <protection locked="0"/>
    </xf>
    <xf numFmtId="192" fontId="34" fillId="0" borderId="20" xfId="0" applyNumberFormat="1" applyFont="1" applyFill="1" applyBorder="1" applyAlignment="1" applyProtection="1">
      <alignment horizontal="right" vertical="center" wrapText="1" indent="1"/>
      <protection locked="0"/>
    </xf>
    <xf numFmtId="0" fontId="35" fillId="33" borderId="50" xfId="54" applyFont="1" applyFill="1" applyBorder="1" applyAlignment="1">
      <alignment horizontal="left" vertical="center" wrapText="1"/>
      <protection/>
    </xf>
    <xf numFmtId="192" fontId="34" fillId="0" borderId="51" xfId="0" applyNumberFormat="1" applyFont="1" applyFill="1" applyBorder="1" applyAlignment="1" applyProtection="1">
      <alignment horizontal="right" vertical="center" wrapText="1" indent="1"/>
      <protection locked="0"/>
    </xf>
    <xf numFmtId="0" fontId="35" fillId="33" borderId="10" xfId="54" applyFont="1" applyFill="1" applyBorder="1" applyAlignment="1">
      <alignment horizontal="left" vertical="center"/>
      <protection/>
    </xf>
    <xf numFmtId="192" fontId="34" fillId="0" borderId="12" xfId="0" applyNumberFormat="1" applyFont="1" applyFill="1" applyBorder="1" applyAlignment="1" applyProtection="1">
      <alignment horizontal="right" vertical="center" wrapText="1" indent="1"/>
      <protection locked="0"/>
    </xf>
    <xf numFmtId="0" fontId="35" fillId="33" borderId="41" xfId="54" applyFont="1" applyFill="1" applyBorder="1" applyAlignment="1">
      <alignment horizontal="left" vertical="center"/>
      <protection/>
    </xf>
    <xf numFmtId="0" fontId="36" fillId="33" borderId="10" xfId="54" applyFont="1" applyFill="1" applyBorder="1" applyAlignment="1">
      <alignment horizontal="left" vertical="center" wrapText="1"/>
      <protection/>
    </xf>
    <xf numFmtId="0" fontId="35" fillId="0" borderId="10" xfId="54" applyFont="1" applyFill="1" applyBorder="1" applyAlignment="1">
      <alignment horizontal="left" vertical="center"/>
      <protection/>
    </xf>
    <xf numFmtId="0" fontId="35" fillId="33" borderId="10" xfId="54" applyFont="1" applyFill="1" applyBorder="1" applyAlignment="1">
      <alignment horizontal="left" vertical="center" wrapText="1"/>
      <protection/>
    </xf>
    <xf numFmtId="192" fontId="34" fillId="0" borderId="41" xfId="0" applyNumberFormat="1" applyFont="1" applyFill="1" applyBorder="1" applyAlignment="1" applyProtection="1">
      <alignment horizontal="left" vertical="center" wrapText="1" indent="1"/>
      <protection locked="0"/>
    </xf>
    <xf numFmtId="192" fontId="31" fillId="0" borderId="34" xfId="0" applyNumberFormat="1" applyFont="1" applyFill="1" applyBorder="1" applyAlignment="1" applyProtection="1">
      <alignment horizontal="left" vertical="center" wrapText="1" indent="1"/>
      <protection/>
    </xf>
    <xf numFmtId="192" fontId="33" fillId="0" borderId="29" xfId="0" applyNumberFormat="1" applyFont="1" applyFill="1" applyBorder="1" applyAlignment="1" applyProtection="1">
      <alignment horizontal="left" vertical="center" wrapText="1" indent="1"/>
      <protection/>
    </xf>
    <xf numFmtId="192" fontId="33" fillId="0" borderId="30" xfId="0" applyNumberFormat="1" applyFont="1" applyFill="1" applyBorder="1" applyAlignment="1" applyProtection="1">
      <alignment horizontal="right" vertical="center" wrapText="1" indent="1"/>
      <protection/>
    </xf>
    <xf numFmtId="192" fontId="33" fillId="0" borderId="31" xfId="0" applyNumberFormat="1" applyFont="1" applyFill="1" applyBorder="1" applyAlignment="1" applyProtection="1">
      <alignment horizontal="right" vertical="center" wrapText="1" indent="1"/>
      <protection/>
    </xf>
    <xf numFmtId="192" fontId="33" fillId="0" borderId="32" xfId="0" applyNumberFormat="1" applyFont="1" applyFill="1" applyBorder="1" applyAlignment="1" applyProtection="1">
      <alignment horizontal="right" vertical="center" wrapText="1" indent="1"/>
      <protection/>
    </xf>
    <xf numFmtId="192" fontId="37" fillId="0" borderId="52" xfId="0" applyNumberFormat="1" applyFont="1" applyFill="1" applyBorder="1" applyAlignment="1" applyProtection="1">
      <alignment horizontal="left" vertical="center" wrapText="1" indent="1"/>
      <protection/>
    </xf>
    <xf numFmtId="192" fontId="34" fillId="0" borderId="50" xfId="0" applyNumberFormat="1" applyFont="1" applyFill="1" applyBorder="1" applyAlignment="1" applyProtection="1">
      <alignment horizontal="left" vertical="center" wrapText="1" indent="1"/>
      <protection/>
    </xf>
    <xf numFmtId="192" fontId="34" fillId="0" borderId="10" xfId="0" applyNumberFormat="1" applyFont="1" applyFill="1" applyBorder="1" applyAlignment="1" applyProtection="1">
      <alignment horizontal="right" vertical="center" wrapText="1" indent="1"/>
      <protection locked="0"/>
    </xf>
    <xf numFmtId="192" fontId="34" fillId="0" borderId="42" xfId="0" applyNumberFormat="1" applyFont="1" applyFill="1" applyBorder="1" applyAlignment="1" applyProtection="1">
      <alignment horizontal="right" vertical="center" wrapText="1" indent="1"/>
      <protection locked="0"/>
    </xf>
    <xf numFmtId="192" fontId="31" fillId="0" borderId="29" xfId="0" applyNumberFormat="1" applyFont="1" applyFill="1" applyBorder="1" applyAlignment="1" applyProtection="1">
      <alignment horizontal="left" vertical="center" wrapText="1" indent="1"/>
      <protection/>
    </xf>
    <xf numFmtId="192" fontId="126" fillId="0" borderId="30" xfId="0" applyNumberFormat="1" applyFont="1" applyFill="1" applyBorder="1" applyAlignment="1" applyProtection="1">
      <alignment horizontal="right" vertical="center" wrapText="1" indent="1"/>
      <protection/>
    </xf>
    <xf numFmtId="192" fontId="126" fillId="0" borderId="53" xfId="0" applyNumberFormat="1" applyFont="1" applyFill="1" applyBorder="1" applyAlignment="1" applyProtection="1">
      <alignment horizontal="right" vertical="center" wrapText="1" indent="1"/>
      <protection/>
    </xf>
    <xf numFmtId="192" fontId="126" fillId="0" borderId="32" xfId="0" applyNumberFormat="1" applyFont="1" applyFill="1" applyBorder="1" applyAlignment="1" applyProtection="1">
      <alignment horizontal="right" vertical="center" wrapText="1" indent="1"/>
      <protection/>
    </xf>
    <xf numFmtId="192" fontId="113" fillId="0" borderId="0" xfId="0" applyNumberFormat="1" applyFont="1" applyFill="1" applyAlignment="1" applyProtection="1">
      <alignment vertical="center" wrapText="1"/>
      <protection/>
    </xf>
    <xf numFmtId="192" fontId="0" fillId="0" borderId="0" xfId="0" applyNumberFormat="1" applyFill="1" applyAlignment="1" applyProtection="1">
      <alignment horizontal="left" vertical="center" wrapText="1"/>
      <protection/>
    </xf>
    <xf numFmtId="192" fontId="0" fillId="0" borderId="54" xfId="0" applyNumberFormat="1" applyFont="1" applyFill="1" applyBorder="1" applyAlignment="1" applyProtection="1">
      <alignment horizontal="center" vertical="center" wrapText="1"/>
      <protection/>
    </xf>
    <xf numFmtId="192" fontId="0" fillId="0" borderId="54" xfId="0" applyNumberFormat="1" applyFont="1" applyFill="1" applyBorder="1" applyAlignment="1" applyProtection="1">
      <alignment vertical="center" wrapText="1"/>
      <protection/>
    </xf>
    <xf numFmtId="192" fontId="33" fillId="0" borderId="31" xfId="0" applyNumberFormat="1" applyFont="1" applyFill="1" applyBorder="1" applyAlignment="1" applyProtection="1">
      <alignment horizontal="right" vertical="center" wrapText="1" indent="1"/>
      <protection locked="0"/>
    </xf>
    <xf numFmtId="192" fontId="31" fillId="0" borderId="30" xfId="0" applyNumberFormat="1" applyFont="1" applyFill="1" applyBorder="1" applyAlignment="1" applyProtection="1">
      <alignment horizontal="right" vertical="center" wrapText="1" indent="1"/>
      <protection/>
    </xf>
    <xf numFmtId="192" fontId="31" fillId="0" borderId="53" xfId="0" applyNumberFormat="1" applyFont="1" applyFill="1" applyBorder="1" applyAlignment="1" applyProtection="1">
      <alignment horizontal="right" vertical="center" wrapText="1" indent="1"/>
      <protection/>
    </xf>
    <xf numFmtId="192" fontId="31" fillId="0" borderId="32" xfId="0" applyNumberFormat="1" applyFont="1" applyFill="1" applyBorder="1" applyAlignment="1" applyProtection="1">
      <alignment horizontal="right" vertical="center" wrapText="1" indent="1"/>
      <protection/>
    </xf>
    <xf numFmtId="0" fontId="6" fillId="0" borderId="0" xfId="0" applyFont="1" applyAlignment="1">
      <alignment/>
    </xf>
    <xf numFmtId="0" fontId="38" fillId="0" borderId="0" xfId="0" applyFont="1" applyAlignment="1">
      <alignment/>
    </xf>
    <xf numFmtId="0" fontId="39" fillId="0" borderId="0" xfId="0" applyFont="1" applyAlignment="1">
      <alignment/>
    </xf>
    <xf numFmtId="0" fontId="35" fillId="0" borderId="0" xfId="0" applyFont="1" applyAlignment="1">
      <alignment/>
    </xf>
    <xf numFmtId="0" fontId="40" fillId="0" borderId="0" xfId="0" applyFont="1" applyAlignment="1">
      <alignment horizontal="right"/>
    </xf>
    <xf numFmtId="0" fontId="41" fillId="0" borderId="0" xfId="0" applyFont="1" applyAlignment="1">
      <alignment/>
    </xf>
    <xf numFmtId="0" fontId="38" fillId="0" borderId="0" xfId="0" applyFont="1" applyAlignment="1">
      <alignment horizontal="center"/>
    </xf>
    <xf numFmtId="0" fontId="34" fillId="39" borderId="0" xfId="0" applyFont="1" applyFill="1" applyBorder="1" applyAlignment="1">
      <alignment horizontal="right"/>
    </xf>
    <xf numFmtId="0" fontId="35" fillId="7" borderId="55" xfId="0" applyFont="1" applyFill="1" applyBorder="1" applyAlignment="1">
      <alignment/>
    </xf>
    <xf numFmtId="0" fontId="38" fillId="7" borderId="56" xfId="0" applyFont="1" applyFill="1" applyBorder="1" applyAlignment="1">
      <alignment/>
    </xf>
    <xf numFmtId="0" fontId="38" fillId="7" borderId="55" xfId="0" applyFont="1" applyFill="1" applyBorder="1" applyAlignment="1">
      <alignment/>
    </xf>
    <xf numFmtId="0" fontId="38" fillId="7" borderId="53" xfId="0" applyFont="1" applyFill="1" applyBorder="1" applyAlignment="1">
      <alignment horizontal="center"/>
    </xf>
    <xf numFmtId="0" fontId="38" fillId="7" borderId="57" xfId="0" applyFont="1" applyFill="1" applyBorder="1" applyAlignment="1">
      <alignment/>
    </xf>
    <xf numFmtId="0" fontId="38" fillId="7" borderId="58" xfId="0" applyFont="1" applyFill="1" applyBorder="1" applyAlignment="1">
      <alignment/>
    </xf>
    <xf numFmtId="0" fontId="6" fillId="7" borderId="56" xfId="0" applyFont="1" applyFill="1" applyBorder="1" applyAlignment="1">
      <alignment/>
    </xf>
    <xf numFmtId="0" fontId="6" fillId="7" borderId="59" xfId="0" applyFont="1" applyFill="1" applyBorder="1" applyAlignment="1">
      <alignment/>
    </xf>
    <xf numFmtId="0" fontId="6" fillId="7" borderId="60" xfId="0" applyFont="1" applyFill="1" applyBorder="1" applyAlignment="1">
      <alignment/>
    </xf>
    <xf numFmtId="0" fontId="35" fillId="7" borderId="52" xfId="0" applyFont="1" applyFill="1" applyBorder="1" applyAlignment="1">
      <alignment/>
    </xf>
    <xf numFmtId="0" fontId="35" fillId="7" borderId="43" xfId="0" applyFont="1" applyFill="1" applyBorder="1" applyAlignment="1">
      <alignment/>
    </xf>
    <xf numFmtId="0" fontId="38" fillId="7" borderId="61" xfId="0" applyFont="1" applyFill="1" applyBorder="1" applyAlignment="1">
      <alignment/>
    </xf>
    <xf numFmtId="0" fontId="38" fillId="7" borderId="0" xfId="0" applyFont="1" applyFill="1" applyBorder="1" applyAlignment="1">
      <alignment/>
    </xf>
    <xf numFmtId="0" fontId="42" fillId="7" borderId="62" xfId="0" applyFont="1" applyFill="1" applyBorder="1" applyAlignment="1">
      <alignment horizontal="center"/>
    </xf>
    <xf numFmtId="0" fontId="43" fillId="7" borderId="52" xfId="0" applyFont="1" applyFill="1" applyBorder="1" applyAlignment="1">
      <alignment horizontal="center"/>
    </xf>
    <xf numFmtId="0" fontId="28" fillId="7" borderId="43" xfId="0" applyFont="1" applyFill="1" applyBorder="1" applyAlignment="1">
      <alignment horizontal="center"/>
    </xf>
    <xf numFmtId="0" fontId="35" fillId="7" borderId="52" xfId="0" applyFont="1" applyFill="1" applyBorder="1" applyAlignment="1">
      <alignment horizontal="center"/>
    </xf>
    <xf numFmtId="0" fontId="35" fillId="7" borderId="56" xfId="0" applyFont="1" applyFill="1" applyBorder="1" applyAlignment="1">
      <alignment/>
    </xf>
    <xf numFmtId="0" fontId="35" fillId="7" borderId="63" xfId="0" applyFont="1" applyFill="1" applyBorder="1" applyAlignment="1">
      <alignment horizontal="center"/>
    </xf>
    <xf numFmtId="0" fontId="35" fillId="7" borderId="64" xfId="0" applyFont="1" applyFill="1" applyBorder="1" applyAlignment="1">
      <alignment horizontal="center"/>
    </xf>
    <xf numFmtId="0" fontId="35" fillId="7" borderId="61" xfId="0" applyFont="1" applyFill="1" applyBorder="1" applyAlignment="1">
      <alignment horizontal="center"/>
    </xf>
    <xf numFmtId="0" fontId="35" fillId="7" borderId="63" xfId="0" applyFont="1" applyFill="1" applyBorder="1" applyAlignment="1">
      <alignment/>
    </xf>
    <xf numFmtId="0" fontId="35" fillId="7" borderId="43" xfId="0" applyFont="1" applyFill="1" applyBorder="1" applyAlignment="1">
      <alignment horizontal="center"/>
    </xf>
    <xf numFmtId="0" fontId="35" fillId="7" borderId="65" xfId="0" applyFont="1" applyFill="1" applyBorder="1" applyAlignment="1">
      <alignment horizontal="center"/>
    </xf>
    <xf numFmtId="0" fontId="35" fillId="7" borderId="26" xfId="0" applyFont="1" applyFill="1" applyBorder="1" applyAlignment="1">
      <alignment horizontal="center"/>
    </xf>
    <xf numFmtId="0" fontId="35" fillId="7" borderId="66" xfId="0" applyFont="1" applyFill="1" applyBorder="1" applyAlignment="1">
      <alignment horizontal="center"/>
    </xf>
    <xf numFmtId="0" fontId="6" fillId="7" borderId="67" xfId="0" applyFont="1" applyFill="1" applyBorder="1" applyAlignment="1">
      <alignment/>
    </xf>
    <xf numFmtId="0" fontId="6" fillId="7" borderId="68" xfId="0" applyFont="1" applyFill="1" applyBorder="1" applyAlignment="1">
      <alignment/>
    </xf>
    <xf numFmtId="0" fontId="43" fillId="7" borderId="52" xfId="0" applyFont="1" applyFill="1" applyBorder="1" applyAlignment="1">
      <alignment horizontal="center" vertical="center"/>
    </xf>
    <xf numFmtId="0" fontId="42" fillId="7" borderId="59" xfId="0" applyFont="1" applyFill="1" applyBorder="1" applyAlignment="1">
      <alignment/>
    </xf>
    <xf numFmtId="0" fontId="42" fillId="7" borderId="63" xfId="0" applyFont="1" applyFill="1" applyBorder="1" applyAlignment="1">
      <alignment/>
    </xf>
    <xf numFmtId="0" fontId="42" fillId="7" borderId="61" xfId="0" applyFont="1" applyFill="1" applyBorder="1" applyAlignment="1">
      <alignment horizontal="center"/>
    </xf>
    <xf numFmtId="0" fontId="35" fillId="7" borderId="52" xfId="0" applyFont="1" applyFill="1" applyBorder="1" applyAlignment="1">
      <alignment horizontal="center" vertical="center"/>
    </xf>
    <xf numFmtId="0" fontId="28" fillId="7" borderId="52" xfId="0" applyFont="1" applyFill="1" applyBorder="1" applyAlignment="1">
      <alignment horizontal="center"/>
    </xf>
    <xf numFmtId="0" fontId="35" fillId="7" borderId="26" xfId="0" applyFont="1" applyFill="1" applyBorder="1" applyAlignment="1">
      <alignment/>
    </xf>
    <xf numFmtId="0" fontId="42" fillId="7" borderId="0" xfId="0" applyFont="1" applyFill="1" applyBorder="1" applyAlignment="1">
      <alignment horizontal="center"/>
    </xf>
    <xf numFmtId="0" fontId="42" fillId="7" borderId="26" xfId="0" applyFont="1" applyFill="1" applyBorder="1" applyAlignment="1">
      <alignment horizontal="center"/>
    </xf>
    <xf numFmtId="0" fontId="42" fillId="7" borderId="65" xfId="0" applyFont="1" applyFill="1" applyBorder="1" applyAlignment="1">
      <alignment horizontal="center"/>
    </xf>
    <xf numFmtId="0" fontId="42" fillId="7" borderId="52" xfId="0" applyFont="1" applyFill="1" applyBorder="1" applyAlignment="1">
      <alignment horizontal="center" vertical="center"/>
    </xf>
    <xf numFmtId="0" fontId="6" fillId="7" borderId="43" xfId="0" applyFont="1" applyFill="1" applyBorder="1" applyAlignment="1">
      <alignment/>
    </xf>
    <xf numFmtId="0" fontId="6" fillId="7" borderId="26" xfId="0" applyFont="1" applyFill="1" applyBorder="1" applyAlignment="1">
      <alignment/>
    </xf>
    <xf numFmtId="0" fontId="43" fillId="7" borderId="69" xfId="0" applyFont="1" applyFill="1" applyBorder="1" applyAlignment="1">
      <alignment horizontal="center" vertical="center"/>
    </xf>
    <xf numFmtId="0" fontId="43" fillId="7" borderId="70" xfId="0" applyFont="1" applyFill="1" applyBorder="1" applyAlignment="1">
      <alignment horizontal="center"/>
    </xf>
    <xf numFmtId="0" fontId="43" fillId="7" borderId="69" xfId="0" applyFont="1" applyFill="1" applyBorder="1" applyAlignment="1">
      <alignment horizontal="center"/>
    </xf>
    <xf numFmtId="0" fontId="35" fillId="7" borderId="70" xfId="0" applyFont="1" applyFill="1" applyBorder="1" applyAlignment="1">
      <alignment/>
    </xf>
    <xf numFmtId="0" fontId="35" fillId="7" borderId="71" xfId="0" applyFont="1" applyFill="1" applyBorder="1" applyAlignment="1">
      <alignment horizontal="center"/>
    </xf>
    <xf numFmtId="0" fontId="35" fillId="7" borderId="67" xfId="0" applyFont="1" applyFill="1" applyBorder="1" applyAlignment="1">
      <alignment/>
    </xf>
    <xf numFmtId="0" fontId="35" fillId="7" borderId="72" xfId="0" applyFont="1" applyFill="1" applyBorder="1" applyAlignment="1">
      <alignment/>
    </xf>
    <xf numFmtId="0" fontId="6" fillId="7" borderId="70" xfId="0" applyFont="1" applyFill="1" applyBorder="1" applyAlignment="1">
      <alignment/>
    </xf>
    <xf numFmtId="0" fontId="6" fillId="7" borderId="71" xfId="0" applyFont="1" applyFill="1" applyBorder="1" applyAlignment="1">
      <alignment/>
    </xf>
    <xf numFmtId="0" fontId="35" fillId="7" borderId="73" xfId="0" applyFont="1" applyFill="1" applyBorder="1" applyAlignment="1">
      <alignment/>
    </xf>
    <xf numFmtId="0" fontId="42" fillId="7" borderId="67" xfId="0" applyFont="1" applyFill="1" applyBorder="1" applyAlignment="1">
      <alignment horizontal="center"/>
    </xf>
    <xf numFmtId="0" fontId="42" fillId="7" borderId="71" xfId="0" applyFont="1" applyFill="1" applyBorder="1" applyAlignment="1">
      <alignment horizontal="center"/>
    </xf>
    <xf numFmtId="0" fontId="42" fillId="7" borderId="72" xfId="0" applyFont="1" applyFill="1" applyBorder="1" applyAlignment="1">
      <alignment horizontal="center"/>
    </xf>
    <xf numFmtId="0" fontId="35" fillId="7" borderId="34" xfId="0" applyFont="1" applyFill="1" applyBorder="1" applyAlignment="1">
      <alignment horizontal="center"/>
    </xf>
    <xf numFmtId="0" fontId="35" fillId="7" borderId="57" xfId="0" applyFont="1" applyFill="1" applyBorder="1" applyAlignment="1">
      <alignment horizontal="center"/>
    </xf>
    <xf numFmtId="0" fontId="35" fillId="7" borderId="29" xfId="0" applyFont="1" applyFill="1" applyBorder="1" applyAlignment="1">
      <alignment horizontal="center"/>
    </xf>
    <xf numFmtId="0" fontId="35" fillId="7" borderId="30" xfId="0" applyFont="1" applyFill="1" applyBorder="1" applyAlignment="1">
      <alignment horizontal="center"/>
    </xf>
    <xf numFmtId="0" fontId="35" fillId="7" borderId="32" xfId="0" applyFont="1" applyFill="1" applyBorder="1" applyAlignment="1">
      <alignment horizontal="center"/>
    </xf>
    <xf numFmtId="0" fontId="35" fillId="7" borderId="33" xfId="0" applyFont="1" applyFill="1" applyBorder="1" applyAlignment="1">
      <alignment horizontal="center"/>
    </xf>
    <xf numFmtId="0" fontId="35" fillId="7" borderId="58" xfId="0" applyFont="1" applyFill="1" applyBorder="1" applyAlignment="1">
      <alignment horizontal="center"/>
    </xf>
    <xf numFmtId="0" fontId="35" fillId="0" borderId="52" xfId="0" applyFont="1" applyBorder="1" applyAlignment="1">
      <alignment horizontal="center"/>
    </xf>
    <xf numFmtId="0" fontId="127" fillId="0" borderId="12" xfId="0" applyFont="1" applyBorder="1" applyAlignment="1">
      <alignment/>
    </xf>
    <xf numFmtId="3" fontId="35" fillId="0" borderId="40" xfId="0" applyNumberFormat="1" applyFont="1" applyBorder="1" applyAlignment="1">
      <alignment horizontal="right"/>
    </xf>
    <xf numFmtId="3" fontId="35" fillId="0" borderId="41" xfId="0" applyNumberFormat="1" applyFont="1" applyBorder="1" applyAlignment="1">
      <alignment/>
    </xf>
    <xf numFmtId="3" fontId="35" fillId="0" borderId="10" xfId="0" applyNumberFormat="1" applyFont="1" applyBorder="1" applyAlignment="1">
      <alignment/>
    </xf>
    <xf numFmtId="3" fontId="35" fillId="0" borderId="42" xfId="0" applyNumberFormat="1" applyFont="1" applyBorder="1" applyAlignment="1">
      <alignment/>
    </xf>
    <xf numFmtId="3" fontId="35" fillId="0" borderId="74" xfId="0" applyNumberFormat="1" applyFont="1" applyBorder="1" applyAlignment="1">
      <alignment/>
    </xf>
    <xf numFmtId="3" fontId="35" fillId="0" borderId="39" xfId="0" applyNumberFormat="1" applyFont="1" applyBorder="1" applyAlignment="1">
      <alignment/>
    </xf>
    <xf numFmtId="175" fontId="35" fillId="0" borderId="75" xfId="0" applyNumberFormat="1" applyFont="1" applyBorder="1" applyAlignment="1">
      <alignment/>
    </xf>
    <xf numFmtId="175" fontId="35" fillId="0" borderId="10" xfId="0" applyNumberFormat="1" applyFont="1" applyBorder="1" applyAlignment="1">
      <alignment/>
    </xf>
    <xf numFmtId="175" fontId="35" fillId="0" borderId="42" xfId="0" applyNumberFormat="1" applyFont="1" applyFill="1" applyBorder="1" applyAlignment="1">
      <alignment/>
    </xf>
    <xf numFmtId="3" fontId="6" fillId="0" borderId="0" xfId="0" applyNumberFormat="1" applyFont="1" applyAlignment="1">
      <alignment/>
    </xf>
    <xf numFmtId="3" fontId="35" fillId="0" borderId="40" xfId="0" applyNumberFormat="1" applyFont="1" applyFill="1" applyBorder="1" applyAlignment="1">
      <alignment horizontal="right"/>
    </xf>
    <xf numFmtId="175" fontId="35" fillId="0" borderId="28" xfId="0" applyNumberFormat="1" applyFont="1" applyBorder="1" applyAlignment="1">
      <alignment/>
    </xf>
    <xf numFmtId="0" fontId="35" fillId="0" borderId="42" xfId="0" applyFont="1" applyFill="1" applyBorder="1" applyAlignment="1">
      <alignment/>
    </xf>
    <xf numFmtId="0" fontId="28" fillId="0" borderId="52" xfId="0" applyFont="1" applyBorder="1" applyAlignment="1">
      <alignment horizontal="center"/>
    </xf>
    <xf numFmtId="0" fontId="28" fillId="0" borderId="74" xfId="0" applyFont="1" applyFill="1" applyBorder="1" applyAlignment="1">
      <alignment vertical="center"/>
    </xf>
    <xf numFmtId="3" fontId="28" fillId="0" borderId="40" xfId="0" applyNumberFormat="1" applyFont="1" applyFill="1" applyBorder="1" applyAlignment="1">
      <alignment horizontal="right"/>
    </xf>
    <xf numFmtId="3" fontId="28" fillId="0" borderId="41" xfId="0" applyNumberFormat="1" applyFont="1" applyBorder="1" applyAlignment="1">
      <alignment/>
    </xf>
    <xf numFmtId="3" fontId="28" fillId="0" borderId="10" xfId="0" applyNumberFormat="1" applyFont="1" applyBorder="1" applyAlignment="1">
      <alignment/>
    </xf>
    <xf numFmtId="3" fontId="28" fillId="0" borderId="42" xfId="0" applyNumberFormat="1" applyFont="1" applyBorder="1" applyAlignment="1">
      <alignment/>
    </xf>
    <xf numFmtId="3" fontId="28" fillId="0" borderId="74" xfId="0" applyNumberFormat="1" applyFont="1" applyBorder="1" applyAlignment="1">
      <alignment/>
    </xf>
    <xf numFmtId="175" fontId="28" fillId="0" borderId="28" xfId="0" applyNumberFormat="1" applyFont="1" applyBorder="1" applyAlignment="1">
      <alignment/>
    </xf>
    <xf numFmtId="175" fontId="28" fillId="0" borderId="10" xfId="0" applyNumberFormat="1" applyFont="1" applyBorder="1" applyAlignment="1">
      <alignment/>
    </xf>
    <xf numFmtId="0" fontId="28" fillId="0" borderId="42" xfId="0" applyFont="1" applyFill="1" applyBorder="1" applyAlignment="1">
      <alignment/>
    </xf>
    <xf numFmtId="3" fontId="38" fillId="0" borderId="0" xfId="0" applyNumberFormat="1" applyFont="1" applyAlignment="1">
      <alignment/>
    </xf>
    <xf numFmtId="0" fontId="38" fillId="0" borderId="0" xfId="0" applyFont="1" applyAlignment="1">
      <alignment/>
    </xf>
    <xf numFmtId="3" fontId="35" fillId="0" borderId="10" xfId="0" applyNumberFormat="1" applyFont="1" applyFill="1" applyBorder="1" applyAlignment="1">
      <alignment/>
    </xf>
    <xf numFmtId="0" fontId="35" fillId="0" borderId="10" xfId="0" applyFont="1" applyBorder="1" applyAlignment="1">
      <alignment/>
    </xf>
    <xf numFmtId="3" fontId="28" fillId="0" borderId="10" xfId="0" applyNumberFormat="1" applyFont="1" applyFill="1" applyBorder="1" applyAlignment="1">
      <alignment/>
    </xf>
    <xf numFmtId="0" fontId="28" fillId="0" borderId="10" xfId="0" applyFont="1" applyBorder="1" applyAlignment="1">
      <alignment/>
    </xf>
    <xf numFmtId="0" fontId="35" fillId="0" borderId="12" xfId="0" applyFont="1" applyBorder="1" applyAlignment="1">
      <alignment/>
    </xf>
    <xf numFmtId="0" fontId="28" fillId="0" borderId="76" xfId="0" applyFont="1" applyFill="1" applyBorder="1" applyAlignment="1">
      <alignment vertical="center"/>
    </xf>
    <xf numFmtId="3" fontId="28" fillId="0" borderId="44" xfId="0" applyNumberFormat="1" applyFont="1" applyFill="1" applyBorder="1" applyAlignment="1">
      <alignment horizontal="right"/>
    </xf>
    <xf numFmtId="3" fontId="28" fillId="0" borderId="45" xfId="0" applyNumberFormat="1" applyFont="1" applyBorder="1" applyAlignment="1">
      <alignment/>
    </xf>
    <xf numFmtId="3" fontId="28" fillId="0" borderId="46" xfId="0" applyNumberFormat="1" applyFont="1" applyBorder="1" applyAlignment="1">
      <alignment/>
    </xf>
    <xf numFmtId="3" fontId="28" fillId="0" borderId="47" xfId="0" applyNumberFormat="1" applyFont="1" applyBorder="1" applyAlignment="1">
      <alignment/>
    </xf>
    <xf numFmtId="3" fontId="28" fillId="0" borderId="76" xfId="0" applyNumberFormat="1" applyFont="1" applyBorder="1" applyAlignment="1">
      <alignment/>
    </xf>
    <xf numFmtId="3" fontId="28" fillId="0" borderId="77" xfId="0" applyNumberFormat="1" applyFont="1" applyBorder="1" applyAlignment="1">
      <alignment/>
    </xf>
    <xf numFmtId="3" fontId="28" fillId="0" borderId="78" xfId="0" applyNumberFormat="1" applyFont="1" applyBorder="1" applyAlignment="1">
      <alignment/>
    </xf>
    <xf numFmtId="175" fontId="28" fillId="0" borderId="19" xfId="0" applyNumberFormat="1" applyFont="1" applyBorder="1" applyAlignment="1">
      <alignment/>
    </xf>
    <xf numFmtId="175" fontId="28" fillId="0" borderId="46" xfId="0" applyNumberFormat="1" applyFont="1" applyBorder="1" applyAlignment="1">
      <alignment/>
    </xf>
    <xf numFmtId="0" fontId="28" fillId="0" borderId="47" xfId="0" applyFont="1" applyFill="1" applyBorder="1" applyAlignment="1">
      <alignment/>
    </xf>
    <xf numFmtId="0" fontId="28" fillId="0" borderId="34" xfId="0" applyFont="1" applyBorder="1" applyAlignment="1">
      <alignment vertical="center"/>
    </xf>
    <xf numFmtId="0" fontId="28" fillId="0" borderId="57" xfId="0" applyFont="1" applyBorder="1" applyAlignment="1">
      <alignment vertical="center"/>
    </xf>
    <xf numFmtId="3" fontId="28" fillId="0" borderId="34" xfId="0" applyNumberFormat="1" applyFont="1" applyFill="1" applyBorder="1" applyAlignment="1">
      <alignment horizontal="right" vertical="center"/>
    </xf>
    <xf numFmtId="3" fontId="28" fillId="0" borderId="57" xfId="0" applyNumberFormat="1" applyFont="1" applyBorder="1" applyAlignment="1">
      <alignment horizontal="right" vertical="center"/>
    </xf>
    <xf numFmtId="3" fontId="28" fillId="0" borderId="31" xfId="0" applyNumberFormat="1" applyFont="1" applyBorder="1" applyAlignment="1">
      <alignment horizontal="right" vertical="center"/>
    </xf>
    <xf numFmtId="3" fontId="28" fillId="0" borderId="32" xfId="0" applyNumberFormat="1" applyFont="1" applyBorder="1" applyAlignment="1">
      <alignment horizontal="right" vertical="center"/>
    </xf>
    <xf numFmtId="3" fontId="28" fillId="0" borderId="34" xfId="0" applyNumberFormat="1" applyFont="1" applyBorder="1" applyAlignment="1">
      <alignment horizontal="right" vertical="center"/>
    </xf>
    <xf numFmtId="175" fontId="28" fillId="0" borderId="57" xfId="0" applyNumberFormat="1" applyFont="1" applyBorder="1" applyAlignment="1">
      <alignment horizontal="right" vertical="center"/>
    </xf>
    <xf numFmtId="175" fontId="28" fillId="0" borderId="30" xfId="0" applyNumberFormat="1" applyFont="1" applyBorder="1" applyAlignment="1">
      <alignment vertical="center"/>
    </xf>
    <xf numFmtId="179" fontId="28" fillId="0" borderId="32" xfId="0" applyNumberFormat="1" applyFont="1" applyFill="1" applyBorder="1" applyAlignment="1">
      <alignment horizontal="right" vertical="center"/>
    </xf>
    <xf numFmtId="0" fontId="6" fillId="0" borderId="0" xfId="0" applyFont="1" applyAlignment="1">
      <alignment/>
    </xf>
    <xf numFmtId="0" fontId="38" fillId="7" borderId="52" xfId="0" applyFont="1" applyFill="1" applyBorder="1" applyAlignment="1">
      <alignment/>
    </xf>
    <xf numFmtId="0" fontId="38" fillId="7" borderId="0" xfId="0" applyFont="1" applyFill="1" applyBorder="1" applyAlignment="1">
      <alignment horizontal="center"/>
    </xf>
    <xf numFmtId="0" fontId="38" fillId="7" borderId="61" xfId="0" applyFont="1" applyFill="1" applyBorder="1" applyAlignment="1">
      <alignment horizontal="center"/>
    </xf>
    <xf numFmtId="0" fontId="6" fillId="7" borderId="0" xfId="0" applyFont="1" applyFill="1" applyBorder="1" applyAlignment="1">
      <alignment/>
    </xf>
    <xf numFmtId="0" fontId="6" fillId="7" borderId="63" xfId="0" applyFont="1" applyFill="1" applyBorder="1" applyAlignment="1">
      <alignment/>
    </xf>
    <xf numFmtId="0" fontId="6" fillId="7" borderId="66" xfId="0" applyFont="1" applyFill="1" applyBorder="1" applyAlignment="1">
      <alignment/>
    </xf>
    <xf numFmtId="0" fontId="6" fillId="7" borderId="64" xfId="0" applyFont="1" applyFill="1" applyBorder="1" applyAlignment="1">
      <alignment/>
    </xf>
    <xf numFmtId="0" fontId="6" fillId="7" borderId="61" xfId="0" applyFont="1" applyFill="1" applyBorder="1" applyAlignment="1">
      <alignment/>
    </xf>
    <xf numFmtId="0" fontId="44" fillId="7" borderId="0" xfId="0" applyFont="1" applyFill="1" applyBorder="1" applyAlignment="1">
      <alignment horizontal="center"/>
    </xf>
    <xf numFmtId="0" fontId="44" fillId="7" borderId="56" xfId="0" applyFont="1" applyFill="1" applyBorder="1" applyAlignment="1">
      <alignment horizontal="center"/>
    </xf>
    <xf numFmtId="0" fontId="35" fillId="7" borderId="0" xfId="0" applyFont="1" applyFill="1" applyBorder="1" applyAlignment="1">
      <alignment horizontal="center"/>
    </xf>
    <xf numFmtId="0" fontId="35" fillId="7" borderId="0" xfId="0" applyFont="1" applyFill="1" applyBorder="1" applyAlignment="1">
      <alignment horizontal="center"/>
    </xf>
    <xf numFmtId="0" fontId="35" fillId="7" borderId="43" xfId="0" applyFont="1" applyFill="1" applyBorder="1" applyAlignment="1">
      <alignment horizontal="center"/>
    </xf>
    <xf numFmtId="0" fontId="28" fillId="7" borderId="43" xfId="0" applyFont="1" applyFill="1" applyBorder="1" applyAlignment="1">
      <alignment horizontal="center" vertical="center"/>
    </xf>
    <xf numFmtId="0" fontId="35" fillId="7" borderId="43" xfId="0" applyFont="1" applyFill="1" applyBorder="1" applyAlignment="1">
      <alignment horizontal="center" vertical="center"/>
    </xf>
    <xf numFmtId="0" fontId="43" fillId="7" borderId="70" xfId="0" applyFont="1" applyFill="1" applyBorder="1" applyAlignment="1">
      <alignment horizontal="center" vertical="center"/>
    </xf>
    <xf numFmtId="0" fontId="35" fillId="7" borderId="71" xfId="0" applyFont="1" applyFill="1" applyBorder="1" applyAlignment="1">
      <alignment/>
    </xf>
    <xf numFmtId="0" fontId="35" fillId="7" borderId="73" xfId="0" applyFont="1" applyFill="1" applyBorder="1" applyAlignment="1">
      <alignment horizontal="center"/>
    </xf>
    <xf numFmtId="0" fontId="35" fillId="7" borderId="72" xfId="0" applyFont="1" applyFill="1" applyBorder="1" applyAlignment="1">
      <alignment horizontal="center"/>
    </xf>
    <xf numFmtId="0" fontId="44" fillId="7" borderId="67" xfId="0" applyFont="1" applyFill="1" applyBorder="1" applyAlignment="1">
      <alignment horizontal="center"/>
    </xf>
    <xf numFmtId="0" fontId="44" fillId="7" borderId="70" xfId="0" applyFont="1" applyFill="1" applyBorder="1" applyAlignment="1">
      <alignment horizontal="center"/>
    </xf>
    <xf numFmtId="0" fontId="35" fillId="7" borderId="31" xfId="0" applyFont="1" applyFill="1" applyBorder="1" applyAlignment="1">
      <alignment horizontal="center"/>
    </xf>
    <xf numFmtId="0" fontId="35" fillId="7" borderId="53" xfId="0" applyFont="1" applyFill="1" applyBorder="1" applyAlignment="1">
      <alignment horizontal="center"/>
    </xf>
    <xf numFmtId="0" fontId="127" fillId="0" borderId="20" xfId="0" applyFont="1" applyBorder="1" applyAlignment="1">
      <alignment/>
    </xf>
    <xf numFmtId="3" fontId="35" fillId="0" borderId="50" xfId="0" applyNumberFormat="1" applyFont="1" applyBorder="1" applyAlignment="1">
      <alignment/>
    </xf>
    <xf numFmtId="3" fontId="35" fillId="0" borderId="75" xfId="0" applyNumberFormat="1" applyFont="1" applyBorder="1" applyAlignment="1">
      <alignment/>
    </xf>
    <xf numFmtId="3" fontId="35" fillId="0" borderId="49" xfId="0" applyNumberFormat="1" applyFont="1" applyBorder="1" applyAlignment="1">
      <alignment/>
    </xf>
    <xf numFmtId="3" fontId="35" fillId="0" borderId="20" xfId="0" applyNumberFormat="1" applyFont="1" applyBorder="1" applyAlignment="1">
      <alignment/>
    </xf>
    <xf numFmtId="3" fontId="35" fillId="0" borderId="51" xfId="0" applyNumberFormat="1" applyFont="1" applyBorder="1" applyAlignment="1">
      <alignment/>
    </xf>
    <xf numFmtId="3" fontId="35" fillId="0" borderId="75" xfId="0" applyNumberFormat="1" applyFont="1" applyFill="1" applyBorder="1" applyAlignment="1">
      <alignment/>
    </xf>
    <xf numFmtId="3" fontId="35" fillId="0" borderId="20" xfId="0" applyNumberFormat="1" applyFont="1" applyFill="1" applyBorder="1" applyAlignment="1">
      <alignment/>
    </xf>
    <xf numFmtId="3" fontId="35" fillId="0" borderId="50" xfId="0" applyNumberFormat="1" applyFont="1" applyFill="1" applyBorder="1" applyAlignment="1">
      <alignment/>
    </xf>
    <xf numFmtId="3" fontId="35" fillId="0" borderId="51" xfId="0" applyNumberFormat="1" applyFont="1" applyFill="1" applyBorder="1" applyAlignment="1">
      <alignment/>
    </xf>
    <xf numFmtId="3" fontId="35" fillId="0" borderId="28" xfId="0" applyNumberFormat="1" applyFont="1" applyBorder="1" applyAlignment="1">
      <alignment/>
    </xf>
    <xf numFmtId="3" fontId="28" fillId="0" borderId="12" xfId="0" applyNumberFormat="1" applyFont="1" applyBorder="1" applyAlignment="1">
      <alignment/>
    </xf>
    <xf numFmtId="3" fontId="28" fillId="0" borderId="28" xfId="0" applyNumberFormat="1" applyFont="1" applyFill="1" applyBorder="1" applyAlignment="1">
      <alignment/>
    </xf>
    <xf numFmtId="3" fontId="28" fillId="0" borderId="12" xfId="0" applyNumberFormat="1" applyFont="1" applyFill="1" applyBorder="1" applyAlignment="1">
      <alignment/>
    </xf>
    <xf numFmtId="3" fontId="28" fillId="0" borderId="41" xfId="0" applyNumberFormat="1" applyFont="1" applyFill="1" applyBorder="1" applyAlignment="1">
      <alignment/>
    </xf>
    <xf numFmtId="3" fontId="28" fillId="0" borderId="42" xfId="0" applyNumberFormat="1" applyFont="1" applyFill="1" applyBorder="1" applyAlignment="1">
      <alignment/>
    </xf>
    <xf numFmtId="3" fontId="28" fillId="0" borderId="79" xfId="0" applyNumberFormat="1" applyFont="1" applyFill="1" applyBorder="1" applyAlignment="1">
      <alignment/>
    </xf>
    <xf numFmtId="3" fontId="35" fillId="0" borderId="80" xfId="0" applyNumberFormat="1" applyFont="1" applyBorder="1" applyAlignment="1">
      <alignment/>
    </xf>
    <xf numFmtId="3" fontId="28" fillId="0" borderId="28" xfId="0" applyNumberFormat="1" applyFont="1" applyBorder="1" applyAlignment="1">
      <alignment/>
    </xf>
    <xf numFmtId="3" fontId="28" fillId="0" borderId="81" xfId="0" applyNumberFormat="1" applyFont="1" applyBorder="1" applyAlignment="1">
      <alignment/>
    </xf>
    <xf numFmtId="3" fontId="28" fillId="0" borderId="17" xfId="0" applyNumberFormat="1" applyFont="1" applyBorder="1" applyAlignment="1">
      <alignment/>
    </xf>
    <xf numFmtId="3" fontId="28" fillId="0" borderId="19" xfId="0" applyNumberFormat="1" applyFont="1" applyFill="1" applyBorder="1" applyAlignment="1">
      <alignment/>
    </xf>
    <xf numFmtId="3" fontId="28" fillId="0" borderId="17" xfId="0" applyNumberFormat="1" applyFont="1" applyFill="1" applyBorder="1" applyAlignment="1">
      <alignment/>
    </xf>
    <xf numFmtId="3" fontId="28" fillId="0" borderId="77" xfId="0" applyNumberFormat="1" applyFont="1" applyFill="1" applyBorder="1" applyAlignment="1">
      <alignment/>
    </xf>
    <xf numFmtId="3" fontId="28" fillId="0" borderId="78" xfId="0" applyNumberFormat="1" applyFont="1" applyFill="1" applyBorder="1" applyAlignment="1">
      <alignment/>
    </xf>
    <xf numFmtId="3" fontId="28" fillId="0" borderId="19" xfId="0" applyNumberFormat="1" applyFont="1" applyBorder="1" applyAlignment="1">
      <alignment/>
    </xf>
    <xf numFmtId="3" fontId="28" fillId="0" borderId="34" xfId="0" applyNumberFormat="1" applyFont="1" applyBorder="1" applyAlignment="1">
      <alignment horizontal="right"/>
    </xf>
    <xf numFmtId="3" fontId="28" fillId="0" borderId="29" xfId="0" applyNumberFormat="1" applyFont="1" applyBorder="1" applyAlignment="1">
      <alignment/>
    </xf>
    <xf numFmtId="3" fontId="28" fillId="0" borderId="30" xfId="0" applyNumberFormat="1" applyFont="1" applyBorder="1" applyAlignment="1">
      <alignment/>
    </xf>
    <xf numFmtId="3" fontId="28" fillId="0" borderId="32" xfId="0" applyNumberFormat="1" applyFont="1" applyBorder="1" applyAlignment="1">
      <alignment/>
    </xf>
    <xf numFmtId="3" fontId="28" fillId="0" borderId="29" xfId="0" applyNumberFormat="1" applyFont="1" applyFill="1" applyBorder="1" applyAlignment="1">
      <alignment/>
    </xf>
    <xf numFmtId="3" fontId="28" fillId="0" borderId="32" xfId="0" applyNumberFormat="1" applyFont="1" applyFill="1" applyBorder="1" applyAlignment="1">
      <alignment/>
    </xf>
    <xf numFmtId="4" fontId="2" fillId="36" borderId="10" xfId="0" applyNumberFormat="1" applyFont="1" applyFill="1" applyBorder="1" applyAlignment="1" applyProtection="1">
      <alignment horizontal="right" vertical="center" wrapText="1"/>
      <protection/>
    </xf>
    <xf numFmtId="0" fontId="11" fillId="0" borderId="0" xfId="54" applyFont="1" applyFill="1" applyAlignment="1">
      <alignment horizontal="right"/>
      <protection/>
    </xf>
    <xf numFmtId="0" fontId="63" fillId="0" borderId="0" xfId="0" applyNumberFormat="1" applyFont="1" applyFill="1" applyBorder="1" applyAlignment="1" applyProtection="1">
      <alignment horizontal="center"/>
      <protection/>
    </xf>
    <xf numFmtId="0" fontId="25" fillId="0" borderId="0" xfId="54" applyFont="1" applyFill="1" applyBorder="1" applyAlignment="1">
      <alignment horizontal="centerContinuous" vertical="center"/>
      <protection/>
    </xf>
    <xf numFmtId="0" fontId="19" fillId="0" borderId="10" xfId="0" applyFont="1" applyBorder="1" applyAlignment="1">
      <alignment/>
    </xf>
    <xf numFmtId="3" fontId="19" fillId="0" borderId="10" xfId="0" applyNumberFormat="1" applyFont="1" applyBorder="1" applyAlignment="1">
      <alignment horizontal="center"/>
    </xf>
    <xf numFmtId="0" fontId="0" fillId="0" borderId="0" xfId="0" applyAlignment="1">
      <alignment horizontal="center"/>
    </xf>
    <xf numFmtId="0" fontId="19" fillId="0" borderId="0" xfId="0" applyFont="1" applyAlignment="1">
      <alignment horizontal="center"/>
    </xf>
    <xf numFmtId="3" fontId="102" fillId="0" borderId="10" xfId="0" applyNumberFormat="1" applyFont="1" applyBorder="1" applyAlignment="1">
      <alignment horizontal="center"/>
    </xf>
    <xf numFmtId="4" fontId="0" fillId="0" borderId="10" xfId="0" applyNumberFormat="1" applyBorder="1" applyAlignment="1">
      <alignment/>
    </xf>
    <xf numFmtId="3" fontId="128" fillId="4" borderId="10" xfId="0" applyNumberFormat="1" applyFont="1" applyFill="1" applyBorder="1" applyAlignment="1" applyProtection="1">
      <alignment horizontal="right" vertical="center" wrapText="1"/>
      <protection/>
    </xf>
    <xf numFmtId="0" fontId="65" fillId="33" borderId="0" xfId="0" applyNumberFormat="1" applyFont="1" applyFill="1" applyBorder="1" applyAlignment="1" applyProtection="1">
      <alignment horizontal="center"/>
      <protection/>
    </xf>
    <xf numFmtId="3" fontId="16" fillId="3" borderId="10" xfId="55" applyNumberFormat="1" applyFont="1" applyFill="1" applyBorder="1" applyAlignment="1">
      <alignment horizontal="right" vertical="center" wrapText="1"/>
      <protection/>
    </xf>
    <xf numFmtId="3" fontId="16" fillId="13" borderId="10" xfId="55" applyNumberFormat="1" applyFont="1" applyFill="1" applyBorder="1" applyAlignment="1">
      <alignment horizontal="right" vertical="center" wrapText="1"/>
      <protection/>
    </xf>
    <xf numFmtId="0" fontId="0" fillId="0" borderId="0" xfId="0" applyAlignment="1">
      <alignment/>
    </xf>
    <xf numFmtId="0" fontId="66" fillId="33" borderId="0" xfId="0" applyNumberFormat="1" applyFont="1" applyFill="1" applyBorder="1" applyAlignment="1" applyProtection="1">
      <alignment horizontal="center"/>
      <protection/>
    </xf>
    <xf numFmtId="49" fontId="23" fillId="38" borderId="10" xfId="0" applyNumberFormat="1" applyFont="1" applyFill="1" applyBorder="1" applyAlignment="1" applyProtection="1">
      <alignment horizontal="left" vertical="center" wrapText="1"/>
      <protection/>
    </xf>
    <xf numFmtId="3" fontId="23" fillId="38" borderId="10" xfId="0" applyNumberFormat="1" applyFont="1" applyFill="1" applyBorder="1" applyAlignment="1" applyProtection="1">
      <alignment horizontal="right" vertical="center" wrapText="1"/>
      <protection/>
    </xf>
    <xf numFmtId="3" fontId="23" fillId="4" borderId="10" xfId="0" applyNumberFormat="1" applyFont="1" applyFill="1" applyBorder="1" applyAlignment="1" applyProtection="1">
      <alignment horizontal="right" vertical="center" wrapText="1"/>
      <protection/>
    </xf>
    <xf numFmtId="3" fontId="23" fillId="33" borderId="24" xfId="0" applyNumberFormat="1" applyFont="1" applyFill="1" applyBorder="1" applyAlignment="1" applyProtection="1">
      <alignment horizontal="right" vertical="center" wrapText="1"/>
      <protection/>
    </xf>
    <xf numFmtId="3" fontId="23" fillId="13" borderId="10" xfId="0" applyNumberFormat="1" applyFont="1" applyFill="1" applyBorder="1" applyAlignment="1" applyProtection="1">
      <alignment horizontal="right" vertical="center" wrapText="1"/>
      <protection/>
    </xf>
    <xf numFmtId="3" fontId="23" fillId="33" borderId="0" xfId="0" applyNumberFormat="1" applyFont="1" applyFill="1" applyBorder="1" applyAlignment="1" applyProtection="1">
      <alignment horizontal="right" vertical="center" wrapText="1"/>
      <protection/>
    </xf>
    <xf numFmtId="3" fontId="23" fillId="33" borderId="25" xfId="0" applyNumberFormat="1" applyFont="1" applyFill="1" applyBorder="1" applyAlignment="1" applyProtection="1">
      <alignment horizontal="right" vertical="center" wrapText="1"/>
      <protection/>
    </xf>
    <xf numFmtId="3" fontId="23" fillId="3" borderId="10" xfId="0" applyNumberFormat="1" applyFont="1" applyFill="1" applyBorder="1" applyAlignment="1" applyProtection="1">
      <alignment horizontal="right" vertical="center" wrapText="1"/>
      <protection/>
    </xf>
    <xf numFmtId="0" fontId="66" fillId="0" borderId="0" xfId="0" applyNumberFormat="1" applyFont="1" applyFill="1" applyBorder="1" applyAlignment="1" applyProtection="1">
      <alignment/>
      <protection/>
    </xf>
    <xf numFmtId="49" fontId="23" fillId="0" borderId="10" xfId="0" applyNumberFormat="1" applyFont="1" applyBorder="1" applyAlignment="1" applyProtection="1">
      <alignment horizontal="left" vertical="center" wrapText="1"/>
      <protection/>
    </xf>
    <xf numFmtId="0" fontId="0" fillId="0" borderId="0" xfId="0" applyAlignment="1">
      <alignment/>
    </xf>
    <xf numFmtId="4" fontId="63" fillId="0" borderId="0" xfId="0" applyNumberFormat="1" applyFont="1" applyFill="1" applyBorder="1" applyAlignment="1" applyProtection="1">
      <alignment/>
      <protection/>
    </xf>
    <xf numFmtId="4" fontId="63" fillId="33" borderId="0" xfId="0" applyNumberFormat="1" applyFont="1" applyFill="1" applyBorder="1" applyAlignment="1" applyProtection="1">
      <alignment/>
      <protection/>
    </xf>
    <xf numFmtId="0" fontId="63" fillId="0" borderId="0" xfId="0" applyNumberFormat="1" applyFont="1" applyFill="1" applyBorder="1" applyAlignment="1" applyProtection="1">
      <alignment horizontal="right"/>
      <protection/>
    </xf>
    <xf numFmtId="0" fontId="45" fillId="0" borderId="0" xfId="0" applyFont="1" applyAlignment="1">
      <alignment/>
    </xf>
    <xf numFmtId="0" fontId="0" fillId="0" borderId="0" xfId="0" applyAlignment="1">
      <alignment horizontal="right"/>
    </xf>
    <xf numFmtId="0" fontId="7" fillId="37" borderId="10" xfId="0" applyNumberFormat="1" applyFont="1" applyFill="1" applyBorder="1" applyAlignment="1" applyProtection="1">
      <alignment horizontal="center" vertical="center" wrapText="1"/>
      <protection/>
    </xf>
    <xf numFmtId="0" fontId="63" fillId="37" borderId="10" xfId="0" applyFont="1" applyFill="1" applyBorder="1" applyAlignment="1">
      <alignment horizontal="center" vertical="center" wrapText="1"/>
    </xf>
    <xf numFmtId="0" fontId="2" fillId="13" borderId="10" xfId="0" applyNumberFormat="1" applyFont="1" applyFill="1" applyBorder="1" applyAlignment="1" applyProtection="1">
      <alignment horizontal="center" vertical="center" wrapText="1"/>
      <protection/>
    </xf>
    <xf numFmtId="0" fontId="63" fillId="0" borderId="10" xfId="0" applyFont="1" applyBorder="1" applyAlignment="1">
      <alignment horizontal="center" vertical="center" wrapText="1"/>
    </xf>
    <xf numFmtId="0" fontId="2" fillId="3" borderId="10" xfId="0" applyNumberFormat="1" applyFont="1" applyFill="1" applyBorder="1" applyAlignment="1" applyProtection="1">
      <alignment horizontal="center" vertical="center" wrapText="1"/>
      <protection/>
    </xf>
    <xf numFmtId="0" fontId="2" fillId="37" borderId="10" xfId="0" applyNumberFormat="1" applyFont="1" applyFill="1" applyBorder="1" applyAlignment="1" applyProtection="1">
      <alignment horizontal="center" vertical="center" wrapText="1"/>
      <protection/>
    </xf>
    <xf numFmtId="0" fontId="2" fillId="13" borderId="10" xfId="0" applyNumberFormat="1" applyFont="1" applyFill="1" applyBorder="1" applyAlignment="1" applyProtection="1">
      <alignment horizontal="center" vertical="center" wrapText="1"/>
      <protection/>
    </xf>
    <xf numFmtId="189" fontId="26" fillId="0" borderId="17" xfId="54" applyNumberFormat="1" applyFont="1" applyFill="1" applyBorder="1" applyAlignment="1">
      <alignment horizontal="center" vertical="center"/>
      <protection/>
    </xf>
    <xf numFmtId="0" fontId="27" fillId="0" borderId="18" xfId="54" applyFont="1" applyBorder="1" applyAlignment="1">
      <alignment/>
      <protection/>
    </xf>
    <xf numFmtId="0" fontId="12" fillId="0" borderId="66" xfId="54" applyFont="1" applyBorder="1" applyAlignment="1">
      <alignment/>
      <protection/>
    </xf>
    <xf numFmtId="0" fontId="12" fillId="0" borderId="0" xfId="54" applyFont="1" applyBorder="1" applyAlignment="1">
      <alignment/>
      <protection/>
    </xf>
    <xf numFmtId="0" fontId="12" fillId="0" borderId="20" xfId="54" applyFont="1" applyBorder="1" applyAlignment="1">
      <alignment/>
      <protection/>
    </xf>
    <xf numFmtId="0" fontId="12" fillId="0" borderId="54" xfId="54" applyFont="1" applyBorder="1" applyAlignment="1">
      <alignment/>
      <protection/>
    </xf>
    <xf numFmtId="0" fontId="10" fillId="0" borderId="10" xfId="54" applyFont="1" applyFill="1" applyBorder="1" applyAlignment="1">
      <alignment horizontal="right"/>
      <protection/>
    </xf>
    <xf numFmtId="0" fontId="12" fillId="0" borderId="10" xfId="54" applyFont="1" applyBorder="1" applyAlignment="1">
      <alignment/>
      <protection/>
    </xf>
    <xf numFmtId="189" fontId="25" fillId="0" borderId="0" xfId="54" applyNumberFormat="1" applyFont="1" applyFill="1" applyBorder="1" applyAlignment="1">
      <alignment horizontal="left" vertical="center" wrapText="1"/>
      <protection/>
    </xf>
    <xf numFmtId="0" fontId="0" fillId="0" borderId="0" xfId="0" applyAlignment="1">
      <alignment/>
    </xf>
    <xf numFmtId="3" fontId="13" fillId="13" borderId="12" xfId="54" applyNumberFormat="1" applyFont="1" applyFill="1" applyBorder="1" applyAlignment="1">
      <alignment horizontal="center" vertical="center" wrapText="1"/>
      <protection/>
    </xf>
    <xf numFmtId="3" fontId="13" fillId="13" borderId="82" xfId="54" applyNumberFormat="1" applyFont="1" applyFill="1" applyBorder="1" applyAlignment="1">
      <alignment horizontal="center" vertical="center" wrapText="1"/>
      <protection/>
    </xf>
    <xf numFmtId="3" fontId="13" fillId="13" borderId="28" xfId="54" applyNumberFormat="1" applyFont="1" applyFill="1" applyBorder="1" applyAlignment="1">
      <alignment horizontal="center" vertical="center" wrapText="1"/>
      <protection/>
    </xf>
    <xf numFmtId="0" fontId="12" fillId="0" borderId="0" xfId="54" applyFont="1" applyAlignment="1">
      <alignment/>
      <protection/>
    </xf>
    <xf numFmtId="0" fontId="118" fillId="0" borderId="0" xfId="0" applyFont="1" applyBorder="1" applyAlignment="1">
      <alignment horizontal="left" vertical="center" wrapText="1"/>
    </xf>
    <xf numFmtId="3" fontId="12" fillId="13" borderId="12" xfId="54" applyNumberFormat="1" applyFont="1" applyFill="1" applyBorder="1" applyAlignment="1">
      <alignment horizontal="center" vertical="center" wrapText="1"/>
      <protection/>
    </xf>
    <xf numFmtId="3" fontId="12" fillId="13" borderId="82" xfId="54" applyNumberFormat="1" applyFont="1" applyFill="1" applyBorder="1" applyAlignment="1">
      <alignment horizontal="center" vertical="center" wrapText="1"/>
      <protection/>
    </xf>
    <xf numFmtId="3" fontId="12" fillId="13" borderId="28" xfId="54" applyNumberFormat="1" applyFont="1" applyFill="1" applyBorder="1" applyAlignment="1">
      <alignment horizontal="center" vertical="center" wrapText="1"/>
      <protection/>
    </xf>
    <xf numFmtId="0" fontId="38" fillId="0" borderId="0" xfId="0" applyFont="1" applyAlignment="1">
      <alignment horizontal="center"/>
    </xf>
    <xf numFmtId="0" fontId="38" fillId="7" borderId="59" xfId="0" applyFont="1" applyFill="1" applyBorder="1" applyAlignment="1">
      <alignment horizontal="center"/>
    </xf>
    <xf numFmtId="0" fontId="38" fillId="7" borderId="53" xfId="0" applyFont="1" applyFill="1" applyBorder="1" applyAlignment="1">
      <alignment horizontal="center"/>
    </xf>
    <xf numFmtId="0" fontId="28" fillId="7" borderId="57" xfId="0" applyFont="1" applyFill="1" applyBorder="1" applyAlignment="1">
      <alignment horizontal="center"/>
    </xf>
    <xf numFmtId="0" fontId="28" fillId="7" borderId="58" xfId="0" applyFont="1" applyFill="1" applyBorder="1" applyAlignment="1">
      <alignment horizontal="center"/>
    </xf>
    <xf numFmtId="0" fontId="41" fillId="7" borderId="57" xfId="0" applyFont="1" applyFill="1" applyBorder="1" applyAlignment="1">
      <alignment horizontal="center"/>
    </xf>
    <xf numFmtId="0" fontId="41" fillId="7" borderId="53" xfId="0" applyFont="1" applyFill="1" applyBorder="1" applyAlignment="1">
      <alignment horizontal="center"/>
    </xf>
    <xf numFmtId="0" fontId="41" fillId="7" borderId="58" xfId="0" applyFont="1" applyFill="1" applyBorder="1" applyAlignment="1">
      <alignment horizontal="center"/>
    </xf>
    <xf numFmtId="0" fontId="41" fillId="7" borderId="67" xfId="0" applyFont="1" applyFill="1" applyBorder="1" applyAlignment="1">
      <alignment horizontal="center"/>
    </xf>
    <xf numFmtId="0" fontId="41" fillId="7" borderId="70" xfId="0" applyFont="1" applyFill="1" applyBorder="1" applyAlignment="1">
      <alignment horizontal="center"/>
    </xf>
    <xf numFmtId="0" fontId="41" fillId="7" borderId="0" xfId="0" applyFont="1" applyFill="1" applyBorder="1" applyAlignment="1">
      <alignment horizontal="center"/>
    </xf>
    <xf numFmtId="0" fontId="41" fillId="7" borderId="62" xfId="0" applyFont="1" applyFill="1" applyBorder="1" applyAlignment="1">
      <alignment horizontal="center"/>
    </xf>
    <xf numFmtId="192" fontId="30" fillId="0" borderId="0" xfId="0" applyNumberFormat="1" applyFont="1" applyFill="1" applyAlignment="1" applyProtection="1">
      <alignment horizontal="left" vertical="center" textRotation="180" wrapText="1"/>
      <protection/>
    </xf>
    <xf numFmtId="192" fontId="32" fillId="10" borderId="55" xfId="0" applyNumberFormat="1" applyFont="1" applyFill="1" applyBorder="1" applyAlignment="1" applyProtection="1">
      <alignment horizontal="center" vertical="center" wrapText="1"/>
      <protection/>
    </xf>
    <xf numFmtId="192" fontId="32" fillId="10" borderId="69" xfId="0" applyNumberFormat="1" applyFont="1" applyFill="1" applyBorder="1" applyAlignment="1" applyProtection="1">
      <alignment horizontal="center" vertical="center" wrapText="1"/>
      <protection/>
    </xf>
    <xf numFmtId="192" fontId="30" fillId="0" borderId="0" xfId="0" applyNumberFormat="1" applyFont="1" applyFill="1" applyAlignment="1" applyProtection="1">
      <alignment horizontal="center" vertical="center" textRotation="180" wrapText="1"/>
      <protection/>
    </xf>
    <xf numFmtId="0" fontId="113" fillId="0" borderId="0" xfId="0" applyFont="1" applyAlignment="1">
      <alignment horizontal="center" vertical="center" wrapText="1"/>
    </xf>
    <xf numFmtId="0" fontId="106" fillId="3" borderId="10" xfId="0" applyFont="1" applyFill="1" applyBorder="1" applyAlignment="1">
      <alignment horizontal="left" vertical="center"/>
    </xf>
    <xf numFmtId="3" fontId="106" fillId="3" borderId="10" xfId="0" applyNumberFormat="1" applyFont="1" applyFill="1" applyBorder="1" applyAlignment="1">
      <alignment horizontal="center" vertical="center" wrapText="1"/>
    </xf>
    <xf numFmtId="3" fontId="0" fillId="3" borderId="10" xfId="0" applyNumberFormat="1" applyFill="1" applyBorder="1" applyAlignment="1">
      <alignment horizontal="center" vertical="center" wrapText="1"/>
    </xf>
    <xf numFmtId="3" fontId="0" fillId="3" borderId="17" xfId="0" applyNumberFormat="1" applyFill="1" applyBorder="1" applyAlignment="1">
      <alignment horizontal="center" vertical="center" wrapText="1"/>
    </xf>
    <xf numFmtId="3" fontId="0" fillId="3" borderId="18" xfId="0" applyNumberFormat="1" applyFill="1" applyBorder="1" applyAlignment="1">
      <alignment horizontal="center" vertical="center" wrapText="1"/>
    </xf>
    <xf numFmtId="3" fontId="102" fillId="3" borderId="18" xfId="0" applyNumberFormat="1" applyFont="1" applyFill="1" applyBorder="1" applyAlignment="1">
      <alignment horizontal="center" vertical="center" wrapText="1"/>
    </xf>
    <xf numFmtId="0" fontId="129" fillId="0" borderId="0" xfId="0" applyFont="1" applyAlignment="1">
      <alignment horizontal="left" wrapText="1"/>
    </xf>
    <xf numFmtId="0" fontId="0" fillId="0" borderId="0" xfId="0" applyAlignment="1">
      <alignment wrapText="1"/>
    </xf>
    <xf numFmtId="0" fontId="117" fillId="0" borderId="0" xfId="0" applyFont="1" applyAlignment="1">
      <alignment horizontal="center" vertical="top" wrapText="1"/>
    </xf>
    <xf numFmtId="0" fontId="117" fillId="0" borderId="83" xfId="0" applyFont="1" applyBorder="1" applyAlignment="1">
      <alignment horizontal="center" vertical="top" wrapText="1"/>
    </xf>
    <xf numFmtId="0" fontId="117" fillId="0" borderId="84" xfId="0" applyFont="1" applyBorder="1" applyAlignment="1">
      <alignment horizontal="center" vertical="top" wrapText="1"/>
    </xf>
    <xf numFmtId="0" fontId="117" fillId="0" borderId="85" xfId="0" applyFont="1" applyBorder="1" applyAlignment="1">
      <alignment horizontal="center" vertical="top" wrapText="1"/>
    </xf>
  </cellXfs>
  <cellStyles count="51">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Normál_12dmelléklet" xfId="55"/>
    <cellStyle name="Összesen" xfId="56"/>
    <cellStyle name="Currency" xfId="57"/>
    <cellStyle name="Currency [0]" xfId="58"/>
    <cellStyle name="Rossz" xfId="59"/>
    <cellStyle name="Semleges" xfId="60"/>
    <cellStyle name="Számítás" xfId="61"/>
    <cellStyle name="Percent" xfId="62"/>
    <cellStyle name="Százalék 2" xfId="63"/>
    <cellStyle name="Százalék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AVAS\Documents\2018%20&#201;VI\2018%20normat&#237;v%20t&#225;mogat&#225;s\2018%20normat&#237;v%20ig&#233;nyl&#337;%20lapok\fentart&#243;\2018%20&#233;vi%20normat&#237;v%20t&#225;mogat&#225;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AVAS\Documents\2018%20&#201;VI\2018%20&#201;VI%20Z&#193;R&#193;S\2018%20Z&#225;rsz&#225;mad&#225;s\2018%20z&#225;rszamod&#225;s%20&#214;NK%20&#233;s%20IN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AVAS\Documents\2018%20&#201;VI\2018%20&#201;VI%20Z&#193;R&#193;S\2018%20Z&#225;rsz&#225;mad&#225;s\2018%20z&#225;rszamod&#225;s%20&#214;NK%20&#233;s%20INT%20jav&#237;tott02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7 MÁK támogatás EREDETI"/>
      <sheetName val="2018 évi támog. elszámolás"/>
      <sheetName val="2018 norm."/>
      <sheetName val="MÁK Határozat"/>
      <sheetName val="2018 01-04 hó elszámolás"/>
      <sheetName val="Munka1"/>
      <sheetName val="Munka2"/>
      <sheetName val="2018 norm. EREDETI"/>
    </sheetNames>
    <sheetDataSet>
      <sheetData sheetId="0">
        <row r="74">
          <cell r="R74">
            <v>107533424</v>
          </cell>
        </row>
        <row r="108">
          <cell r="R108">
            <v>93425878</v>
          </cell>
        </row>
      </sheetData>
      <sheetData sheetId="1">
        <row r="217">
          <cell r="F217">
            <v>68539340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Feladat"/>
      <sheetName val="BFeladat"/>
      <sheetName val="Költségvetési Mérleg"/>
      <sheetName val="KIntézmény"/>
      <sheetName val="BIntézmény"/>
      <sheetName val="ÖKFeladat"/>
      <sheetName val="ÖBFeladat"/>
      <sheetName val="Maradvány"/>
      <sheetName val="Adott támog."/>
      <sheetName val="Kapott támog."/>
      <sheetName val="Bér"/>
      <sheetName val="Munka9"/>
      <sheetName val="Munka10"/>
    </sheetNames>
    <sheetDataSet>
      <sheetData sheetId="1">
        <row r="14">
          <cell r="D14">
            <v>0</v>
          </cell>
          <cell r="E14">
            <v>0</v>
          </cell>
          <cell r="G14">
            <v>0</v>
          </cell>
        </row>
        <row r="107">
          <cell r="L107">
            <v>37704580</v>
          </cell>
          <cell r="N107">
            <v>43265572</v>
          </cell>
          <cell r="R107">
            <v>0</v>
          </cell>
          <cell r="U107">
            <v>7848263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Feladat"/>
      <sheetName val="BFeladat"/>
      <sheetName val="Költségvetési Mérleg"/>
      <sheetName val="KIntézmény"/>
      <sheetName val="BIntézmény"/>
      <sheetName val="ÖKFeladat"/>
      <sheetName val="ÖBFeledat"/>
      <sheetName val="Maradvány"/>
      <sheetName val="Bér"/>
      <sheetName val="kapott támog."/>
      <sheetName val="Munka9"/>
      <sheetName val="Munka10"/>
    </sheetNames>
    <sheetDataSet>
      <sheetData sheetId="0">
        <row r="87">
          <cell r="AJ87">
            <v>0</v>
          </cell>
          <cell r="BH87">
            <v>0</v>
          </cell>
        </row>
      </sheetData>
      <sheetData sheetId="1">
        <row r="90">
          <cell r="D9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G276"/>
  <sheetViews>
    <sheetView tabSelected="1" zoomScalePageLayoutView="0" workbookViewId="0" topLeftCell="A1">
      <selection activeCell="J4" sqref="J4"/>
    </sheetView>
  </sheetViews>
  <sheetFormatPr defaultColWidth="10.421875" defaultRowHeight="15"/>
  <cols>
    <col min="1" max="1" width="4.421875" style="6" customWidth="1"/>
    <col min="2" max="2" width="11.140625" style="12" customWidth="1"/>
    <col min="3" max="3" width="54.57421875" style="6" customWidth="1"/>
    <col min="4" max="4" width="14.00390625" style="6" customWidth="1"/>
    <col min="5" max="5" width="12.00390625" style="6" customWidth="1"/>
    <col min="6" max="6" width="13.00390625" style="6" customWidth="1"/>
    <col min="7" max="8" width="12.57421875" style="6" customWidth="1"/>
    <col min="9" max="9" width="2.57421875" style="5" customWidth="1"/>
    <col min="10" max="10" width="13.421875" style="6" customWidth="1"/>
    <col min="11" max="12" width="12.57421875" style="6" customWidth="1"/>
    <col min="13" max="13" width="14.00390625" style="6" customWidth="1"/>
    <col min="14" max="14" width="1.57421875" style="5" customWidth="1"/>
    <col min="15" max="17" width="12.57421875" style="6" customWidth="1"/>
    <col min="18" max="18" width="1.8515625" style="5" customWidth="1"/>
    <col min="19" max="19" width="14.421875" style="6" customWidth="1"/>
    <col min="20" max="21" width="12.57421875" style="6" customWidth="1"/>
    <col min="22" max="22" width="14.57421875" style="6" customWidth="1"/>
    <col min="23" max="23" width="2.140625" style="5" customWidth="1"/>
    <col min="24" max="26" width="14.28125" style="6" customWidth="1"/>
    <col min="27" max="27" width="1.421875" style="5" customWidth="1"/>
    <col min="28" max="28" width="14.421875" style="6" customWidth="1"/>
    <col min="29" max="29" width="13.7109375" style="6" customWidth="1"/>
    <col min="30" max="30" width="12.57421875" style="6" customWidth="1"/>
    <col min="31" max="31" width="14.8515625" style="6" customWidth="1"/>
    <col min="32" max="32" width="1.57421875" style="5" customWidth="1"/>
    <col min="33" max="33" width="15.140625" style="6" customWidth="1"/>
    <col min="34" max="16384" width="10.421875" style="6" customWidth="1"/>
  </cols>
  <sheetData>
    <row r="1" spans="2:31" ht="31.5" customHeight="1">
      <c r="B1" s="345" t="s">
        <v>1544</v>
      </c>
      <c r="C1" s="345"/>
      <c r="D1" s="345"/>
      <c r="E1" s="345"/>
      <c r="F1" s="345"/>
      <c r="G1" s="345"/>
      <c r="H1" s="345"/>
      <c r="I1" s="345"/>
      <c r="J1" s="345"/>
      <c r="K1" s="345"/>
      <c r="L1" s="345"/>
      <c r="M1" s="345"/>
      <c r="N1" s="242"/>
      <c r="O1" s="126"/>
      <c r="P1" s="126"/>
      <c r="Q1" s="126"/>
      <c r="R1" s="304"/>
      <c r="S1" s="126"/>
      <c r="T1" s="126"/>
      <c r="U1" s="126"/>
      <c r="V1" s="126"/>
      <c r="W1" s="304"/>
      <c r="X1" s="126"/>
      <c r="Y1" s="126"/>
      <c r="Z1" s="126"/>
      <c r="AA1" s="304"/>
      <c r="AB1" s="126"/>
      <c r="AC1" s="126"/>
      <c r="AD1" s="126"/>
      <c r="AE1" s="126"/>
    </row>
    <row r="2" spans="2:31" ht="19.5" customHeight="1">
      <c r="B2" s="241"/>
      <c r="C2" s="241"/>
      <c r="D2" s="344" t="s">
        <v>1337</v>
      </c>
      <c r="E2" s="241"/>
      <c r="F2" s="241"/>
      <c r="G2" s="241"/>
      <c r="H2" s="241"/>
      <c r="I2" s="240"/>
      <c r="J2" s="344" t="s">
        <v>1338</v>
      </c>
      <c r="K2" s="241"/>
      <c r="L2" s="241"/>
      <c r="M2" s="241"/>
      <c r="N2" s="242"/>
      <c r="O2" s="344" t="s">
        <v>1339</v>
      </c>
      <c r="P2" s="126"/>
      <c r="Q2" s="241"/>
      <c r="R2" s="242"/>
      <c r="S2" s="344" t="s">
        <v>1340</v>
      </c>
      <c r="T2" s="126"/>
      <c r="U2" s="241"/>
      <c r="V2" s="126"/>
      <c r="W2" s="304"/>
      <c r="X2" s="344" t="s">
        <v>1341</v>
      </c>
      <c r="Y2" s="126"/>
      <c r="Z2" s="241"/>
      <c r="AA2" s="304"/>
      <c r="AB2" s="344" t="s">
        <v>1342</v>
      </c>
      <c r="AC2" s="126"/>
      <c r="AD2" s="241"/>
      <c r="AE2" s="126"/>
    </row>
    <row r="3" spans="2:33" ht="33.75" customHeight="1">
      <c r="B3" s="246"/>
      <c r="C3" s="687" t="s">
        <v>2</v>
      </c>
      <c r="D3" s="682" t="s">
        <v>1293</v>
      </c>
      <c r="E3" s="682"/>
      <c r="F3" s="682"/>
      <c r="G3" s="682"/>
      <c r="H3" s="682"/>
      <c r="I3" s="240"/>
      <c r="J3" s="682" t="s">
        <v>1294</v>
      </c>
      <c r="K3" s="682"/>
      <c r="L3" s="682"/>
      <c r="M3" s="688" t="s">
        <v>359</v>
      </c>
      <c r="N3" s="243"/>
      <c r="O3" s="682" t="s">
        <v>1297</v>
      </c>
      <c r="P3" s="682"/>
      <c r="Q3" s="683"/>
      <c r="R3" s="340"/>
      <c r="S3" s="682" t="s">
        <v>1298</v>
      </c>
      <c r="T3" s="682"/>
      <c r="U3" s="683"/>
      <c r="V3" s="688" t="s">
        <v>1299</v>
      </c>
      <c r="W3" s="243"/>
      <c r="X3" s="682" t="s">
        <v>1301</v>
      </c>
      <c r="Y3" s="682"/>
      <c r="Z3" s="683"/>
      <c r="AA3" s="304"/>
      <c r="AB3" s="682" t="s">
        <v>907</v>
      </c>
      <c r="AC3" s="682"/>
      <c r="AD3" s="683"/>
      <c r="AE3" s="684" t="s">
        <v>36</v>
      </c>
      <c r="AG3" s="686" t="s">
        <v>360</v>
      </c>
    </row>
    <row r="4" spans="2:33" ht="38.25" customHeight="1">
      <c r="B4" s="246"/>
      <c r="C4" s="685"/>
      <c r="D4" s="316" t="s">
        <v>1306</v>
      </c>
      <c r="E4" s="316" t="s">
        <v>358</v>
      </c>
      <c r="F4" s="316" t="s">
        <v>1307</v>
      </c>
      <c r="G4" s="316" t="s">
        <v>1296</v>
      </c>
      <c r="H4" s="308" t="s">
        <v>1292</v>
      </c>
      <c r="I4" s="288"/>
      <c r="J4" s="316" t="s">
        <v>1307</v>
      </c>
      <c r="K4" s="316" t="s">
        <v>1296</v>
      </c>
      <c r="L4" s="308" t="s">
        <v>1292</v>
      </c>
      <c r="M4" s="685"/>
      <c r="N4" s="339"/>
      <c r="O4" s="316" t="s">
        <v>1295</v>
      </c>
      <c r="P4" s="316" t="s">
        <v>1296</v>
      </c>
      <c r="Q4" s="308" t="s">
        <v>1292</v>
      </c>
      <c r="R4" s="243"/>
      <c r="S4" s="316" t="s">
        <v>1295</v>
      </c>
      <c r="T4" s="316" t="s">
        <v>1296</v>
      </c>
      <c r="U4" s="308" t="s">
        <v>1292</v>
      </c>
      <c r="V4" s="685"/>
      <c r="W4" s="340"/>
      <c r="X4" s="316" t="s">
        <v>1295</v>
      </c>
      <c r="Y4" s="316" t="s">
        <v>1296</v>
      </c>
      <c r="Z4" s="308" t="s">
        <v>1292</v>
      </c>
      <c r="AA4" s="319"/>
      <c r="AB4" s="316" t="s">
        <v>1295</v>
      </c>
      <c r="AC4" s="316" t="s">
        <v>1296</v>
      </c>
      <c r="AD4" s="308" t="s">
        <v>1292</v>
      </c>
      <c r="AE4" s="685"/>
      <c r="AF4" s="288"/>
      <c r="AG4" s="685"/>
    </row>
    <row r="5" spans="1:33" s="9" customFormat="1" ht="15" customHeight="1">
      <c r="A5" s="239" t="s">
        <v>341</v>
      </c>
      <c r="B5" s="247" t="s">
        <v>914</v>
      </c>
      <c r="C5" s="248" t="s">
        <v>38</v>
      </c>
      <c r="D5" s="249">
        <f>SUM(D6:D7)</f>
        <v>0</v>
      </c>
      <c r="E5" s="249">
        <f>SUM(E6:E7)</f>
        <v>0</v>
      </c>
      <c r="F5" s="249">
        <f>SUM(D5:E5)</f>
        <v>0</v>
      </c>
      <c r="G5" s="249">
        <f>SUM(G6:G7)</f>
        <v>0</v>
      </c>
      <c r="H5" s="309">
        <f>F5+G5</f>
        <v>0</v>
      </c>
      <c r="I5" s="289"/>
      <c r="J5" s="249">
        <f>SUM(J6:J7)</f>
        <v>0</v>
      </c>
      <c r="K5" s="249">
        <f>SUM(K6:K7)</f>
        <v>0</v>
      </c>
      <c r="L5" s="309">
        <f>SUM(J5:K5)</f>
        <v>0</v>
      </c>
      <c r="M5" s="266">
        <f>H5+L5</f>
        <v>0</v>
      </c>
      <c r="N5" s="289"/>
      <c r="O5" s="249">
        <f>SUM(O6:O7)</f>
        <v>0</v>
      </c>
      <c r="P5" s="249">
        <f>SUM(P6:P7)</f>
        <v>0</v>
      </c>
      <c r="Q5" s="309">
        <f>SUM(O5:P5)</f>
        <v>0</v>
      </c>
      <c r="R5" s="354"/>
      <c r="S5" s="249">
        <f>SUM(S6:S7)</f>
        <v>0</v>
      </c>
      <c r="T5" s="249">
        <f>SUM(T6:T7)</f>
        <v>0</v>
      </c>
      <c r="U5" s="309">
        <f>SUM(S5:T5)</f>
        <v>0</v>
      </c>
      <c r="V5" s="266">
        <f aca="true" t="shared" si="0" ref="V5:V22">Q5+U5</f>
        <v>0</v>
      </c>
      <c r="W5" s="289"/>
      <c r="X5" s="249">
        <f>SUM(X6:X7)</f>
        <v>0</v>
      </c>
      <c r="Y5" s="249">
        <f>SUM(Y6:Y7)</f>
        <v>0</v>
      </c>
      <c r="Z5" s="309">
        <f aca="true" t="shared" si="1" ref="Z5:Z23">SUM(X5:Y5)</f>
        <v>0</v>
      </c>
      <c r="AA5" s="320"/>
      <c r="AB5" s="249">
        <f>SUM(AB6:AB7)</f>
        <v>0</v>
      </c>
      <c r="AC5" s="249">
        <f>SUM(AC6:AC7)</f>
        <v>0</v>
      </c>
      <c r="AD5" s="309">
        <f aca="true" t="shared" si="2" ref="AD5:AD23">SUM(AB5:AC5)</f>
        <v>0</v>
      </c>
      <c r="AE5" s="266">
        <f aca="true" t="shared" si="3" ref="AE5:AE36">Z5+AD5</f>
        <v>0</v>
      </c>
      <c r="AF5" s="289"/>
      <c r="AG5" s="285">
        <f>SUM(AG6:AG7)</f>
        <v>0</v>
      </c>
    </row>
    <row r="6" spans="1:33" s="236" customFormat="1" ht="15" customHeight="1" hidden="1">
      <c r="A6" s="239" t="s">
        <v>342</v>
      </c>
      <c r="B6" s="250" t="s">
        <v>37</v>
      </c>
      <c r="C6" s="250" t="s">
        <v>39</v>
      </c>
      <c r="D6" s="251">
        <v>0</v>
      </c>
      <c r="E6" s="251">
        <v>0</v>
      </c>
      <c r="F6" s="251">
        <f aca="true" t="shared" si="4" ref="F6:F67">SUM(D6:E6)</f>
        <v>0</v>
      </c>
      <c r="G6" s="251">
        <v>0</v>
      </c>
      <c r="H6" s="310">
        <f aca="true" t="shared" si="5" ref="H6:H67">F6+G6</f>
        <v>0</v>
      </c>
      <c r="I6" s="290"/>
      <c r="J6" s="251">
        <v>0</v>
      </c>
      <c r="K6" s="251">
        <v>0</v>
      </c>
      <c r="L6" s="310">
        <f aca="true" t="shared" si="6" ref="L6:L67">SUM(J6:K6)</f>
        <v>0</v>
      </c>
      <c r="M6" s="297">
        <f aca="true" t="shared" si="7" ref="M6:M67">H6+L6</f>
        <v>0</v>
      </c>
      <c r="N6" s="290"/>
      <c r="O6" s="251">
        <v>0</v>
      </c>
      <c r="P6" s="251">
        <v>0</v>
      </c>
      <c r="Q6" s="310">
        <f aca="true" t="shared" si="8" ref="Q6:Q67">SUM(O6:P6)</f>
        <v>0</v>
      </c>
      <c r="R6" s="355"/>
      <c r="S6" s="251">
        <v>0</v>
      </c>
      <c r="T6" s="251">
        <v>0</v>
      </c>
      <c r="U6" s="310">
        <f aca="true" t="shared" si="9" ref="U6:U67">SUM(S6:T6)</f>
        <v>0</v>
      </c>
      <c r="V6" s="297">
        <f t="shared" si="0"/>
        <v>0</v>
      </c>
      <c r="W6" s="290"/>
      <c r="X6" s="251">
        <v>0</v>
      </c>
      <c r="Y6" s="251">
        <v>0</v>
      </c>
      <c r="Z6" s="310">
        <f t="shared" si="1"/>
        <v>0</v>
      </c>
      <c r="AA6" s="321"/>
      <c r="AB6" s="251">
        <v>0</v>
      </c>
      <c r="AC6" s="251">
        <v>0</v>
      </c>
      <c r="AD6" s="310">
        <f t="shared" si="2"/>
        <v>0</v>
      </c>
      <c r="AE6" s="297">
        <f t="shared" si="3"/>
        <v>0</v>
      </c>
      <c r="AF6" s="290"/>
      <c r="AG6" s="334">
        <f aca="true" t="shared" si="10" ref="AG6:AG23">M6+V6+AE6</f>
        <v>0</v>
      </c>
    </row>
    <row r="7" spans="1:33" s="236" customFormat="1" ht="15" customHeight="1" hidden="1">
      <c r="A7" s="239" t="s">
        <v>343</v>
      </c>
      <c r="B7" s="252" t="s">
        <v>40</v>
      </c>
      <c r="C7" s="252" t="s">
        <v>41</v>
      </c>
      <c r="D7" s="251">
        <v>0</v>
      </c>
      <c r="E7" s="251">
        <v>0</v>
      </c>
      <c r="F7" s="251">
        <f t="shared" si="4"/>
        <v>0</v>
      </c>
      <c r="G7" s="251">
        <v>0</v>
      </c>
      <c r="H7" s="310">
        <f t="shared" si="5"/>
        <v>0</v>
      </c>
      <c r="I7" s="290"/>
      <c r="J7" s="251">
        <v>0</v>
      </c>
      <c r="K7" s="251">
        <v>0</v>
      </c>
      <c r="L7" s="310">
        <f t="shared" si="6"/>
        <v>0</v>
      </c>
      <c r="M7" s="297">
        <f t="shared" si="7"/>
        <v>0</v>
      </c>
      <c r="N7" s="290"/>
      <c r="O7" s="251">
        <v>0</v>
      </c>
      <c r="P7" s="251">
        <v>0</v>
      </c>
      <c r="Q7" s="310">
        <f t="shared" si="8"/>
        <v>0</v>
      </c>
      <c r="R7" s="355"/>
      <c r="S7" s="251">
        <v>0</v>
      </c>
      <c r="T7" s="251">
        <v>0</v>
      </c>
      <c r="U7" s="310">
        <f t="shared" si="9"/>
        <v>0</v>
      </c>
      <c r="V7" s="297">
        <f t="shared" si="0"/>
        <v>0</v>
      </c>
      <c r="W7" s="290"/>
      <c r="X7" s="251">
        <v>0</v>
      </c>
      <c r="Y7" s="251">
        <v>0</v>
      </c>
      <c r="Z7" s="310">
        <f t="shared" si="1"/>
        <v>0</v>
      </c>
      <c r="AA7" s="321"/>
      <c r="AB7" s="251">
        <v>0</v>
      </c>
      <c r="AC7" s="251">
        <v>0</v>
      </c>
      <c r="AD7" s="310">
        <f t="shared" si="2"/>
        <v>0</v>
      </c>
      <c r="AE7" s="297">
        <f t="shared" si="3"/>
        <v>0</v>
      </c>
      <c r="AF7" s="290"/>
      <c r="AG7" s="334">
        <f t="shared" si="10"/>
        <v>0</v>
      </c>
    </row>
    <row r="8" spans="1:33" s="10" customFormat="1" ht="15" customHeight="1">
      <c r="A8" s="239" t="s">
        <v>344</v>
      </c>
      <c r="B8" s="247" t="s">
        <v>915</v>
      </c>
      <c r="C8" s="247" t="s">
        <v>42</v>
      </c>
      <c r="D8" s="253">
        <f>SUM(D9:D11)</f>
        <v>0</v>
      </c>
      <c r="E8" s="253">
        <f>SUM(E9:E11)</f>
        <v>0</v>
      </c>
      <c r="F8" s="253">
        <f t="shared" si="4"/>
        <v>0</v>
      </c>
      <c r="G8" s="253">
        <f>SUM(G9:G11)</f>
        <v>0</v>
      </c>
      <c r="H8" s="309">
        <f t="shared" si="5"/>
        <v>0</v>
      </c>
      <c r="I8" s="289"/>
      <c r="J8" s="253">
        <f>SUM(J9:J11)</f>
        <v>0</v>
      </c>
      <c r="K8" s="253">
        <f>SUM(K9:K11)</f>
        <v>0</v>
      </c>
      <c r="L8" s="309">
        <f t="shared" si="6"/>
        <v>0</v>
      </c>
      <c r="M8" s="266">
        <f t="shared" si="7"/>
        <v>0</v>
      </c>
      <c r="N8" s="289"/>
      <c r="O8" s="253">
        <f>SUM(O9:O11)</f>
        <v>0</v>
      </c>
      <c r="P8" s="253">
        <f>SUM(P9:P11)</f>
        <v>0</v>
      </c>
      <c r="Q8" s="309">
        <f t="shared" si="8"/>
        <v>0</v>
      </c>
      <c r="R8" s="354"/>
      <c r="S8" s="253">
        <f>SUM(S9:S11)</f>
        <v>0</v>
      </c>
      <c r="T8" s="253">
        <f>SUM(T9:T11)</f>
        <v>0</v>
      </c>
      <c r="U8" s="309">
        <f t="shared" si="9"/>
        <v>0</v>
      </c>
      <c r="V8" s="266">
        <f t="shared" si="0"/>
        <v>0</v>
      </c>
      <c r="W8" s="289"/>
      <c r="X8" s="253">
        <f>SUM(X9:X11)</f>
        <v>0</v>
      </c>
      <c r="Y8" s="253">
        <f>SUM(Y9:Y11)</f>
        <v>0</v>
      </c>
      <c r="Z8" s="309">
        <f t="shared" si="1"/>
        <v>0</v>
      </c>
      <c r="AA8" s="320"/>
      <c r="AB8" s="253">
        <f>SUM(AB9:AB11)</f>
        <v>0</v>
      </c>
      <c r="AC8" s="253">
        <f>SUM(AC9:AC11)</f>
        <v>0</v>
      </c>
      <c r="AD8" s="309">
        <f t="shared" si="2"/>
        <v>0</v>
      </c>
      <c r="AE8" s="266">
        <f t="shared" si="3"/>
        <v>0</v>
      </c>
      <c r="AF8" s="289"/>
      <c r="AG8" s="285">
        <f t="shared" si="10"/>
        <v>0</v>
      </c>
    </row>
    <row r="9" spans="1:33" s="236" customFormat="1" ht="15" customHeight="1" hidden="1">
      <c r="A9" s="239" t="s">
        <v>345</v>
      </c>
      <c r="B9" s="250" t="s">
        <v>43</v>
      </c>
      <c r="C9" s="250" t="s">
        <v>44</v>
      </c>
      <c r="D9" s="251">
        <v>0</v>
      </c>
      <c r="E9" s="251">
        <v>0</v>
      </c>
      <c r="F9" s="251">
        <f t="shared" si="4"/>
        <v>0</v>
      </c>
      <c r="G9" s="251">
        <v>0</v>
      </c>
      <c r="H9" s="310">
        <f t="shared" si="5"/>
        <v>0</v>
      </c>
      <c r="I9" s="290"/>
      <c r="J9" s="251">
        <v>0</v>
      </c>
      <c r="K9" s="251">
        <v>0</v>
      </c>
      <c r="L9" s="310">
        <f t="shared" si="6"/>
        <v>0</v>
      </c>
      <c r="M9" s="297">
        <f t="shared" si="7"/>
        <v>0</v>
      </c>
      <c r="N9" s="290"/>
      <c r="O9" s="251">
        <v>0</v>
      </c>
      <c r="P9" s="251">
        <v>0</v>
      </c>
      <c r="Q9" s="310">
        <f t="shared" si="8"/>
        <v>0</v>
      </c>
      <c r="R9" s="355"/>
      <c r="S9" s="251">
        <v>0</v>
      </c>
      <c r="T9" s="251">
        <v>0</v>
      </c>
      <c r="U9" s="310">
        <f t="shared" si="9"/>
        <v>0</v>
      </c>
      <c r="V9" s="297">
        <f t="shared" si="0"/>
        <v>0</v>
      </c>
      <c r="W9" s="290"/>
      <c r="X9" s="251">
        <v>0</v>
      </c>
      <c r="Y9" s="251">
        <v>0</v>
      </c>
      <c r="Z9" s="310">
        <f t="shared" si="1"/>
        <v>0</v>
      </c>
      <c r="AA9" s="321"/>
      <c r="AB9" s="251">
        <v>0</v>
      </c>
      <c r="AC9" s="251">
        <v>0</v>
      </c>
      <c r="AD9" s="310">
        <f t="shared" si="2"/>
        <v>0</v>
      </c>
      <c r="AE9" s="297">
        <f t="shared" si="3"/>
        <v>0</v>
      </c>
      <c r="AF9" s="290"/>
      <c r="AG9" s="334">
        <f t="shared" si="10"/>
        <v>0</v>
      </c>
    </row>
    <row r="10" spans="1:33" s="236" customFormat="1" ht="15" customHeight="1" hidden="1">
      <c r="A10" s="239" t="s">
        <v>346</v>
      </c>
      <c r="B10" s="250" t="s">
        <v>45</v>
      </c>
      <c r="C10" s="250" t="s">
        <v>44</v>
      </c>
      <c r="D10" s="251">
        <v>0</v>
      </c>
      <c r="E10" s="251">
        <v>0</v>
      </c>
      <c r="F10" s="251">
        <f t="shared" si="4"/>
        <v>0</v>
      </c>
      <c r="G10" s="251">
        <v>0</v>
      </c>
      <c r="H10" s="310">
        <f t="shared" si="5"/>
        <v>0</v>
      </c>
      <c r="I10" s="290"/>
      <c r="J10" s="251">
        <v>0</v>
      </c>
      <c r="K10" s="251">
        <v>0</v>
      </c>
      <c r="L10" s="310">
        <f t="shared" si="6"/>
        <v>0</v>
      </c>
      <c r="M10" s="297">
        <f t="shared" si="7"/>
        <v>0</v>
      </c>
      <c r="N10" s="290"/>
      <c r="O10" s="251">
        <v>0</v>
      </c>
      <c r="P10" s="251">
        <v>0</v>
      </c>
      <c r="Q10" s="310">
        <f t="shared" si="8"/>
        <v>0</v>
      </c>
      <c r="R10" s="355"/>
      <c r="S10" s="251">
        <v>0</v>
      </c>
      <c r="T10" s="251">
        <v>0</v>
      </c>
      <c r="U10" s="310">
        <f t="shared" si="9"/>
        <v>0</v>
      </c>
      <c r="V10" s="297">
        <f t="shared" si="0"/>
        <v>0</v>
      </c>
      <c r="W10" s="290"/>
      <c r="X10" s="251">
        <v>0</v>
      </c>
      <c r="Y10" s="251">
        <v>0</v>
      </c>
      <c r="Z10" s="310">
        <f t="shared" si="1"/>
        <v>0</v>
      </c>
      <c r="AA10" s="321"/>
      <c r="AB10" s="251">
        <v>0</v>
      </c>
      <c r="AC10" s="251">
        <v>0</v>
      </c>
      <c r="AD10" s="310">
        <f t="shared" si="2"/>
        <v>0</v>
      </c>
      <c r="AE10" s="297">
        <f t="shared" si="3"/>
        <v>0</v>
      </c>
      <c r="AF10" s="290"/>
      <c r="AG10" s="334">
        <f t="shared" si="10"/>
        <v>0</v>
      </c>
    </row>
    <row r="11" spans="1:33" s="236" customFormat="1" ht="15" customHeight="1" hidden="1">
      <c r="A11" s="239" t="s">
        <v>347</v>
      </c>
      <c r="B11" s="250" t="s">
        <v>46</v>
      </c>
      <c r="C11" s="250" t="s">
        <v>44</v>
      </c>
      <c r="D11" s="251">
        <v>0</v>
      </c>
      <c r="E11" s="251">
        <v>0</v>
      </c>
      <c r="F11" s="251">
        <f t="shared" si="4"/>
        <v>0</v>
      </c>
      <c r="G11" s="251">
        <v>0</v>
      </c>
      <c r="H11" s="310">
        <f t="shared" si="5"/>
        <v>0</v>
      </c>
      <c r="I11" s="290"/>
      <c r="J11" s="251">
        <v>0</v>
      </c>
      <c r="K11" s="251">
        <v>0</v>
      </c>
      <c r="L11" s="310">
        <f t="shared" si="6"/>
        <v>0</v>
      </c>
      <c r="M11" s="297">
        <f t="shared" si="7"/>
        <v>0</v>
      </c>
      <c r="N11" s="290"/>
      <c r="O11" s="251">
        <v>0</v>
      </c>
      <c r="P11" s="251">
        <v>0</v>
      </c>
      <c r="Q11" s="310">
        <f t="shared" si="8"/>
        <v>0</v>
      </c>
      <c r="R11" s="355"/>
      <c r="S11" s="251">
        <v>0</v>
      </c>
      <c r="T11" s="251">
        <v>0</v>
      </c>
      <c r="U11" s="310">
        <f t="shared" si="9"/>
        <v>0</v>
      </c>
      <c r="V11" s="297">
        <f t="shared" si="0"/>
        <v>0</v>
      </c>
      <c r="W11" s="290"/>
      <c r="X11" s="251">
        <v>0</v>
      </c>
      <c r="Y11" s="251">
        <v>0</v>
      </c>
      <c r="Z11" s="310">
        <f t="shared" si="1"/>
        <v>0</v>
      </c>
      <c r="AA11" s="321"/>
      <c r="AB11" s="251">
        <v>0</v>
      </c>
      <c r="AC11" s="251">
        <v>0</v>
      </c>
      <c r="AD11" s="310">
        <f t="shared" si="2"/>
        <v>0</v>
      </c>
      <c r="AE11" s="297">
        <f t="shared" si="3"/>
        <v>0</v>
      </c>
      <c r="AF11" s="290"/>
      <c r="AG11" s="334">
        <f t="shared" si="10"/>
        <v>0</v>
      </c>
    </row>
    <row r="12" spans="1:33" s="10" customFormat="1" ht="15" customHeight="1">
      <c r="A12" s="239" t="s">
        <v>348</v>
      </c>
      <c r="B12" s="254" t="s">
        <v>916</v>
      </c>
      <c r="C12" s="254" t="s">
        <v>47</v>
      </c>
      <c r="D12" s="255">
        <f>SUM(D13:D15)</f>
        <v>0</v>
      </c>
      <c r="E12" s="255">
        <f>SUM(E13:E15)</f>
        <v>0</v>
      </c>
      <c r="F12" s="255">
        <f t="shared" si="4"/>
        <v>0</v>
      </c>
      <c r="G12" s="255">
        <f>SUM(G13:G15)</f>
        <v>0</v>
      </c>
      <c r="H12" s="309">
        <f t="shared" si="5"/>
        <v>0</v>
      </c>
      <c r="I12" s="289"/>
      <c r="J12" s="255">
        <f>SUM(J13:J15)</f>
        <v>0</v>
      </c>
      <c r="K12" s="255">
        <f>SUM(K13:K15)</f>
        <v>0</v>
      </c>
      <c r="L12" s="309">
        <f t="shared" si="6"/>
        <v>0</v>
      </c>
      <c r="M12" s="266">
        <f t="shared" si="7"/>
        <v>0</v>
      </c>
      <c r="N12" s="289"/>
      <c r="O12" s="255">
        <f>SUM(O13:O15)</f>
        <v>0</v>
      </c>
      <c r="P12" s="255">
        <f>SUM(P13:P15)</f>
        <v>0</v>
      </c>
      <c r="Q12" s="309">
        <f t="shared" si="8"/>
        <v>0</v>
      </c>
      <c r="R12" s="354"/>
      <c r="S12" s="255">
        <f>SUM(S13:S15)</f>
        <v>0</v>
      </c>
      <c r="T12" s="255">
        <f>SUM(T13:T15)</f>
        <v>0</v>
      </c>
      <c r="U12" s="309">
        <f t="shared" si="9"/>
        <v>0</v>
      </c>
      <c r="V12" s="266">
        <f t="shared" si="0"/>
        <v>0</v>
      </c>
      <c r="W12" s="289"/>
      <c r="X12" s="255">
        <f>SUM(X13:X15)</f>
        <v>0</v>
      </c>
      <c r="Y12" s="255">
        <f>SUM(Y13:Y15)</f>
        <v>0</v>
      </c>
      <c r="Z12" s="309">
        <f t="shared" si="1"/>
        <v>0</v>
      </c>
      <c r="AA12" s="320"/>
      <c r="AB12" s="255">
        <f>SUM(AB13:AB15)</f>
        <v>0</v>
      </c>
      <c r="AC12" s="255">
        <f>SUM(AC13:AC15)</f>
        <v>0</v>
      </c>
      <c r="AD12" s="309">
        <f t="shared" si="2"/>
        <v>0</v>
      </c>
      <c r="AE12" s="266">
        <f t="shared" si="3"/>
        <v>0</v>
      </c>
      <c r="AF12" s="289"/>
      <c r="AG12" s="285">
        <f t="shared" si="10"/>
        <v>0</v>
      </c>
    </row>
    <row r="13" spans="1:33" s="236" customFormat="1" ht="15" customHeight="1" hidden="1">
      <c r="A13" s="239" t="s">
        <v>349</v>
      </c>
      <c r="B13" s="252" t="s">
        <v>48</v>
      </c>
      <c r="C13" s="252" t="s">
        <v>49</v>
      </c>
      <c r="D13" s="251">
        <v>0</v>
      </c>
      <c r="E13" s="251">
        <v>0</v>
      </c>
      <c r="F13" s="251">
        <f t="shared" si="4"/>
        <v>0</v>
      </c>
      <c r="G13" s="251">
        <v>0</v>
      </c>
      <c r="H13" s="310">
        <f t="shared" si="5"/>
        <v>0</v>
      </c>
      <c r="I13" s="290"/>
      <c r="J13" s="251">
        <v>0</v>
      </c>
      <c r="K13" s="251">
        <v>0</v>
      </c>
      <c r="L13" s="310">
        <f t="shared" si="6"/>
        <v>0</v>
      </c>
      <c r="M13" s="297">
        <f t="shared" si="7"/>
        <v>0</v>
      </c>
      <c r="N13" s="290"/>
      <c r="O13" s="251">
        <v>0</v>
      </c>
      <c r="P13" s="251">
        <v>0</v>
      </c>
      <c r="Q13" s="310">
        <f t="shared" si="8"/>
        <v>0</v>
      </c>
      <c r="R13" s="355"/>
      <c r="S13" s="251">
        <v>0</v>
      </c>
      <c r="T13" s="251">
        <v>0</v>
      </c>
      <c r="U13" s="310">
        <f t="shared" si="9"/>
        <v>0</v>
      </c>
      <c r="V13" s="297">
        <f t="shared" si="0"/>
        <v>0</v>
      </c>
      <c r="W13" s="290"/>
      <c r="X13" s="251">
        <v>0</v>
      </c>
      <c r="Y13" s="251">
        <v>0</v>
      </c>
      <c r="Z13" s="310">
        <f t="shared" si="1"/>
        <v>0</v>
      </c>
      <c r="AA13" s="321"/>
      <c r="AB13" s="251">
        <v>0</v>
      </c>
      <c r="AC13" s="251">
        <v>0</v>
      </c>
      <c r="AD13" s="310">
        <f t="shared" si="2"/>
        <v>0</v>
      </c>
      <c r="AE13" s="297">
        <f t="shared" si="3"/>
        <v>0</v>
      </c>
      <c r="AF13" s="290"/>
      <c r="AG13" s="334">
        <f t="shared" si="10"/>
        <v>0</v>
      </c>
    </row>
    <row r="14" spans="1:33" s="236" customFormat="1" ht="15" customHeight="1" hidden="1">
      <c r="A14" s="239" t="s">
        <v>350</v>
      </c>
      <c r="B14" s="252" t="s">
        <v>50</v>
      </c>
      <c r="C14" s="252" t="s">
        <v>49</v>
      </c>
      <c r="D14" s="251">
        <v>0</v>
      </c>
      <c r="E14" s="251">
        <v>0</v>
      </c>
      <c r="F14" s="251">
        <f t="shared" si="4"/>
        <v>0</v>
      </c>
      <c r="G14" s="251">
        <v>0</v>
      </c>
      <c r="H14" s="310">
        <f t="shared" si="5"/>
        <v>0</v>
      </c>
      <c r="I14" s="290"/>
      <c r="J14" s="251">
        <v>0</v>
      </c>
      <c r="K14" s="251">
        <v>0</v>
      </c>
      <c r="L14" s="310">
        <f t="shared" si="6"/>
        <v>0</v>
      </c>
      <c r="M14" s="297">
        <f t="shared" si="7"/>
        <v>0</v>
      </c>
      <c r="N14" s="290"/>
      <c r="O14" s="251">
        <v>0</v>
      </c>
      <c r="P14" s="251">
        <v>0</v>
      </c>
      <c r="Q14" s="310">
        <f t="shared" si="8"/>
        <v>0</v>
      </c>
      <c r="R14" s="355"/>
      <c r="S14" s="251">
        <v>0</v>
      </c>
      <c r="T14" s="251">
        <v>0</v>
      </c>
      <c r="U14" s="310">
        <f t="shared" si="9"/>
        <v>0</v>
      </c>
      <c r="V14" s="297">
        <f t="shared" si="0"/>
        <v>0</v>
      </c>
      <c r="W14" s="290"/>
      <c r="X14" s="251">
        <v>0</v>
      </c>
      <c r="Y14" s="251">
        <v>0</v>
      </c>
      <c r="Z14" s="310">
        <f t="shared" si="1"/>
        <v>0</v>
      </c>
      <c r="AA14" s="321"/>
      <c r="AB14" s="251">
        <v>0</v>
      </c>
      <c r="AC14" s="251">
        <v>0</v>
      </c>
      <c r="AD14" s="310">
        <f t="shared" si="2"/>
        <v>0</v>
      </c>
      <c r="AE14" s="297">
        <f t="shared" si="3"/>
        <v>0</v>
      </c>
      <c r="AF14" s="290"/>
      <c r="AG14" s="334">
        <f t="shared" si="10"/>
        <v>0</v>
      </c>
    </row>
    <row r="15" spans="1:33" s="236" customFormat="1" ht="15" customHeight="1" hidden="1">
      <c r="A15" s="239" t="s">
        <v>351</v>
      </c>
      <c r="B15" s="252" t="s">
        <v>51</v>
      </c>
      <c r="C15" s="252" t="s">
        <v>49</v>
      </c>
      <c r="D15" s="251">
        <v>0</v>
      </c>
      <c r="E15" s="251">
        <v>0</v>
      </c>
      <c r="F15" s="251">
        <f t="shared" si="4"/>
        <v>0</v>
      </c>
      <c r="G15" s="251">
        <v>0</v>
      </c>
      <c r="H15" s="310">
        <f t="shared" si="5"/>
        <v>0</v>
      </c>
      <c r="I15" s="290"/>
      <c r="J15" s="251">
        <v>0</v>
      </c>
      <c r="K15" s="251">
        <v>0</v>
      </c>
      <c r="L15" s="310">
        <f t="shared" si="6"/>
        <v>0</v>
      </c>
      <c r="M15" s="297">
        <f t="shared" si="7"/>
        <v>0</v>
      </c>
      <c r="N15" s="290"/>
      <c r="O15" s="251">
        <v>0</v>
      </c>
      <c r="P15" s="251">
        <v>0</v>
      </c>
      <c r="Q15" s="310">
        <f t="shared" si="8"/>
        <v>0</v>
      </c>
      <c r="R15" s="355"/>
      <c r="S15" s="251">
        <v>0</v>
      </c>
      <c r="T15" s="251">
        <v>0</v>
      </c>
      <c r="U15" s="310">
        <f t="shared" si="9"/>
        <v>0</v>
      </c>
      <c r="V15" s="297">
        <f t="shared" si="0"/>
        <v>0</v>
      </c>
      <c r="W15" s="290"/>
      <c r="X15" s="251">
        <v>0</v>
      </c>
      <c r="Y15" s="251">
        <v>0</v>
      </c>
      <c r="Z15" s="310">
        <f t="shared" si="1"/>
        <v>0</v>
      </c>
      <c r="AA15" s="321"/>
      <c r="AB15" s="251">
        <v>0</v>
      </c>
      <c r="AC15" s="251">
        <v>0</v>
      </c>
      <c r="AD15" s="310">
        <f t="shared" si="2"/>
        <v>0</v>
      </c>
      <c r="AE15" s="297">
        <f t="shared" si="3"/>
        <v>0</v>
      </c>
      <c r="AF15" s="290"/>
      <c r="AG15" s="334">
        <f t="shared" si="10"/>
        <v>0</v>
      </c>
    </row>
    <row r="16" spans="1:33" s="10" customFormat="1" ht="15" customHeight="1">
      <c r="A16" s="239" t="s">
        <v>352</v>
      </c>
      <c r="B16" s="254" t="s">
        <v>917</v>
      </c>
      <c r="C16" s="254" t="s">
        <v>52</v>
      </c>
      <c r="D16" s="255">
        <f>SUM(D17:D23)</f>
        <v>32995000</v>
      </c>
      <c r="E16" s="255">
        <f>SUM(E17:E23)</f>
        <v>9140000</v>
      </c>
      <c r="F16" s="255">
        <f t="shared" si="4"/>
        <v>42135000</v>
      </c>
      <c r="G16" s="255">
        <f>SUM(G17:G23)</f>
        <v>0</v>
      </c>
      <c r="H16" s="309">
        <f t="shared" si="5"/>
        <v>42135000</v>
      </c>
      <c r="I16" s="289"/>
      <c r="J16" s="255">
        <f>SUM(J17:J23)</f>
        <v>42965000</v>
      </c>
      <c r="K16" s="255">
        <f>SUM(K17:K23)</f>
        <v>0</v>
      </c>
      <c r="L16" s="309">
        <f t="shared" si="6"/>
        <v>42965000</v>
      </c>
      <c r="M16" s="266">
        <f t="shared" si="7"/>
        <v>85100000</v>
      </c>
      <c r="N16" s="289"/>
      <c r="O16" s="255">
        <f>SUM(O17:O23)</f>
        <v>29802000</v>
      </c>
      <c r="P16" s="255">
        <f>SUM(P17:P23)</f>
        <v>0</v>
      </c>
      <c r="Q16" s="309">
        <f>SUM(Q17:Q23)</f>
        <v>29802000</v>
      </c>
      <c r="R16" s="354"/>
      <c r="S16" s="255">
        <f>SUM(S17:S23)</f>
        <v>9298000</v>
      </c>
      <c r="T16" s="255">
        <f>SUM(T17:T23)</f>
        <v>0</v>
      </c>
      <c r="U16" s="309">
        <f t="shared" si="9"/>
        <v>9298000</v>
      </c>
      <c r="V16" s="266">
        <f t="shared" si="0"/>
        <v>39100000</v>
      </c>
      <c r="W16" s="289"/>
      <c r="X16" s="255">
        <f>SUM(X17:X23)</f>
        <v>102320000</v>
      </c>
      <c r="Y16" s="255">
        <f>SUM(Y17:Y23)</f>
        <v>-12740000</v>
      </c>
      <c r="Z16" s="309">
        <f t="shared" si="1"/>
        <v>89580000</v>
      </c>
      <c r="AA16" s="320"/>
      <c r="AB16" s="255">
        <f>SUM(AB17:AB23)</f>
        <v>101430000</v>
      </c>
      <c r="AC16" s="255">
        <f>SUM(AC17:AC23)</f>
        <v>12740000</v>
      </c>
      <c r="AD16" s="309">
        <f t="shared" si="2"/>
        <v>114170000</v>
      </c>
      <c r="AE16" s="266">
        <f t="shared" si="3"/>
        <v>203750000</v>
      </c>
      <c r="AF16" s="289"/>
      <c r="AG16" s="285">
        <f t="shared" si="10"/>
        <v>327950000</v>
      </c>
    </row>
    <row r="17" spans="1:33" s="236" customFormat="1" ht="15" customHeight="1">
      <c r="A17" s="239" t="s">
        <v>353</v>
      </c>
      <c r="B17" s="250" t="s">
        <v>53</v>
      </c>
      <c r="C17" s="250" t="s">
        <v>54</v>
      </c>
      <c r="D17" s="251">
        <f>85100000-9140000-J18</f>
        <v>32995000</v>
      </c>
      <c r="E17" s="251">
        <v>9140000</v>
      </c>
      <c r="F17" s="251">
        <f t="shared" si="4"/>
        <v>42135000</v>
      </c>
      <c r="G17" s="251">
        <v>0</v>
      </c>
      <c r="H17" s="310">
        <f t="shared" si="5"/>
        <v>42135000</v>
      </c>
      <c r="I17" s="290"/>
      <c r="J17" s="251">
        <v>0</v>
      </c>
      <c r="K17" s="251">
        <v>0</v>
      </c>
      <c r="L17" s="310">
        <f t="shared" si="6"/>
        <v>0</v>
      </c>
      <c r="M17" s="297">
        <f t="shared" si="7"/>
        <v>42135000</v>
      </c>
      <c r="N17" s="290"/>
      <c r="O17" s="251">
        <v>0</v>
      </c>
      <c r="P17" s="251">
        <v>0</v>
      </c>
      <c r="Q17" s="310">
        <f t="shared" si="8"/>
        <v>0</v>
      </c>
      <c r="R17" s="355"/>
      <c r="S17" s="251">
        <v>0</v>
      </c>
      <c r="T17" s="251">
        <v>0</v>
      </c>
      <c r="U17" s="310">
        <f t="shared" si="9"/>
        <v>0</v>
      </c>
      <c r="V17" s="297">
        <f t="shared" si="0"/>
        <v>0</v>
      </c>
      <c r="W17" s="290"/>
      <c r="X17" s="251">
        <v>0</v>
      </c>
      <c r="Y17" s="251">
        <v>0</v>
      </c>
      <c r="Z17" s="310">
        <f t="shared" si="1"/>
        <v>0</v>
      </c>
      <c r="AA17" s="321"/>
      <c r="AB17" s="251">
        <v>0</v>
      </c>
      <c r="AC17" s="251">
        <v>0</v>
      </c>
      <c r="AD17" s="310">
        <f t="shared" si="2"/>
        <v>0</v>
      </c>
      <c r="AE17" s="297">
        <f t="shared" si="3"/>
        <v>0</v>
      </c>
      <c r="AF17" s="290"/>
      <c r="AG17" s="334">
        <f t="shared" si="10"/>
        <v>42135000</v>
      </c>
    </row>
    <row r="18" spans="1:33" s="236" customFormat="1" ht="15" customHeight="1">
      <c r="A18" s="239" t="s">
        <v>998</v>
      </c>
      <c r="B18" s="250" t="s">
        <v>55</v>
      </c>
      <c r="C18" s="250" t="s">
        <v>56</v>
      </c>
      <c r="D18" s="251">
        <v>0</v>
      </c>
      <c r="E18" s="251">
        <v>0</v>
      </c>
      <c r="F18" s="251">
        <f t="shared" si="4"/>
        <v>0</v>
      </c>
      <c r="G18" s="251">
        <v>0</v>
      </c>
      <c r="H18" s="310">
        <f t="shared" si="5"/>
        <v>0</v>
      </c>
      <c r="I18" s="290"/>
      <c r="J18" s="251">
        <v>42965000</v>
      </c>
      <c r="K18" s="251">
        <v>0</v>
      </c>
      <c r="L18" s="310">
        <f t="shared" si="6"/>
        <v>42965000</v>
      </c>
      <c r="M18" s="297">
        <f t="shared" si="7"/>
        <v>42965000</v>
      </c>
      <c r="N18" s="290"/>
      <c r="O18" s="251">
        <v>0</v>
      </c>
      <c r="P18" s="251">
        <v>0</v>
      </c>
      <c r="Q18" s="310">
        <f t="shared" si="8"/>
        <v>0</v>
      </c>
      <c r="R18" s="355"/>
      <c r="S18" s="251">
        <v>0</v>
      </c>
      <c r="T18" s="251">
        <v>0</v>
      </c>
      <c r="U18" s="310">
        <f t="shared" si="9"/>
        <v>0</v>
      </c>
      <c r="V18" s="297">
        <f t="shared" si="0"/>
        <v>0</v>
      </c>
      <c r="W18" s="290"/>
      <c r="X18" s="251">
        <v>0</v>
      </c>
      <c r="Y18" s="251">
        <v>0</v>
      </c>
      <c r="Z18" s="310">
        <f t="shared" si="1"/>
        <v>0</v>
      </c>
      <c r="AA18" s="321"/>
      <c r="AB18" s="251">
        <v>0</v>
      </c>
      <c r="AC18" s="251">
        <v>0</v>
      </c>
      <c r="AD18" s="310">
        <f t="shared" si="2"/>
        <v>0</v>
      </c>
      <c r="AE18" s="297">
        <f t="shared" si="3"/>
        <v>0</v>
      </c>
      <c r="AF18" s="290"/>
      <c r="AG18" s="334">
        <f t="shared" si="10"/>
        <v>42965000</v>
      </c>
    </row>
    <row r="19" spans="1:33" s="236" customFormat="1" ht="15" customHeight="1">
      <c r="A19" s="239" t="s">
        <v>999</v>
      </c>
      <c r="B19" s="252" t="s">
        <v>57</v>
      </c>
      <c r="C19" s="252" t="s">
        <v>58</v>
      </c>
      <c r="D19" s="251">
        <v>0</v>
      </c>
      <c r="E19" s="251">
        <v>0</v>
      </c>
      <c r="F19" s="251">
        <f t="shared" si="4"/>
        <v>0</v>
      </c>
      <c r="G19" s="251">
        <v>0</v>
      </c>
      <c r="H19" s="310">
        <f t="shared" si="5"/>
        <v>0</v>
      </c>
      <c r="I19" s="290"/>
      <c r="J19" s="251">
        <v>0</v>
      </c>
      <c r="K19" s="251">
        <v>0</v>
      </c>
      <c r="L19" s="310">
        <f t="shared" si="6"/>
        <v>0</v>
      </c>
      <c r="M19" s="297">
        <f t="shared" si="7"/>
        <v>0</v>
      </c>
      <c r="N19" s="290"/>
      <c r="O19" s="251">
        <v>0</v>
      </c>
      <c r="P19" s="251">
        <v>0</v>
      </c>
      <c r="Q19" s="310">
        <f t="shared" si="8"/>
        <v>0</v>
      </c>
      <c r="R19" s="355"/>
      <c r="S19" s="251">
        <v>0</v>
      </c>
      <c r="T19" s="251">
        <v>0</v>
      </c>
      <c r="U19" s="310">
        <f t="shared" si="9"/>
        <v>0</v>
      </c>
      <c r="V19" s="297">
        <f t="shared" si="0"/>
        <v>0</v>
      </c>
      <c r="W19" s="290"/>
      <c r="X19" s="251">
        <f>102320000</f>
        <v>102320000</v>
      </c>
      <c r="Y19" s="251">
        <v>-12740000</v>
      </c>
      <c r="Z19" s="310">
        <f t="shared" si="1"/>
        <v>89580000</v>
      </c>
      <c r="AA19" s="321"/>
      <c r="AB19" s="251"/>
      <c r="AC19" s="251">
        <v>12740000</v>
      </c>
      <c r="AD19" s="310">
        <f t="shared" si="2"/>
        <v>12740000</v>
      </c>
      <c r="AE19" s="297">
        <f t="shared" si="3"/>
        <v>102320000</v>
      </c>
      <c r="AF19" s="290"/>
      <c r="AG19" s="334">
        <f t="shared" si="10"/>
        <v>102320000</v>
      </c>
    </row>
    <row r="20" spans="1:33" s="236" customFormat="1" ht="15" customHeight="1">
      <c r="A20" s="239" t="s">
        <v>1000</v>
      </c>
      <c r="B20" s="252" t="s">
        <v>59</v>
      </c>
      <c r="C20" s="252" t="s">
        <v>60</v>
      </c>
      <c r="D20" s="251">
        <v>0</v>
      </c>
      <c r="E20" s="251">
        <v>0</v>
      </c>
      <c r="F20" s="251">
        <f t="shared" si="4"/>
        <v>0</v>
      </c>
      <c r="G20" s="251">
        <v>0</v>
      </c>
      <c r="H20" s="310">
        <f t="shared" si="5"/>
        <v>0</v>
      </c>
      <c r="I20" s="290"/>
      <c r="J20" s="251">
        <v>0</v>
      </c>
      <c r="K20" s="251">
        <v>0</v>
      </c>
      <c r="L20" s="310">
        <f t="shared" si="6"/>
        <v>0</v>
      </c>
      <c r="M20" s="297">
        <f t="shared" si="7"/>
        <v>0</v>
      </c>
      <c r="N20" s="290"/>
      <c r="O20" s="251">
        <v>0</v>
      </c>
      <c r="P20" s="251">
        <v>0</v>
      </c>
      <c r="Q20" s="310">
        <f t="shared" si="8"/>
        <v>0</v>
      </c>
      <c r="R20" s="355"/>
      <c r="S20" s="251">
        <v>0</v>
      </c>
      <c r="T20" s="251">
        <v>0</v>
      </c>
      <c r="U20" s="310">
        <f t="shared" si="9"/>
        <v>0</v>
      </c>
      <c r="V20" s="297">
        <f t="shared" si="0"/>
        <v>0</v>
      </c>
      <c r="W20" s="290"/>
      <c r="X20" s="251">
        <v>0</v>
      </c>
      <c r="Y20" s="251">
        <v>0</v>
      </c>
      <c r="Z20" s="310">
        <f t="shared" si="1"/>
        <v>0</v>
      </c>
      <c r="AA20" s="321"/>
      <c r="AB20" s="251">
        <v>101430000</v>
      </c>
      <c r="AC20" s="251">
        <v>0</v>
      </c>
      <c r="AD20" s="310">
        <f t="shared" si="2"/>
        <v>101430000</v>
      </c>
      <c r="AE20" s="297">
        <f t="shared" si="3"/>
        <v>101430000</v>
      </c>
      <c r="AF20" s="290"/>
      <c r="AG20" s="334">
        <f t="shared" si="10"/>
        <v>101430000</v>
      </c>
    </row>
    <row r="21" spans="1:33" s="236" customFormat="1" ht="15" customHeight="1">
      <c r="A21" s="239" t="s">
        <v>1001</v>
      </c>
      <c r="B21" s="250" t="s">
        <v>61</v>
      </c>
      <c r="C21" s="256" t="s">
        <v>63</v>
      </c>
      <c r="D21" s="251">
        <v>0</v>
      </c>
      <c r="E21" s="251">
        <v>0</v>
      </c>
      <c r="F21" s="251">
        <f t="shared" si="4"/>
        <v>0</v>
      </c>
      <c r="G21" s="251">
        <v>0</v>
      </c>
      <c r="H21" s="310">
        <f t="shared" si="5"/>
        <v>0</v>
      </c>
      <c r="I21" s="290"/>
      <c r="J21" s="251">
        <v>0</v>
      </c>
      <c r="K21" s="251">
        <v>0</v>
      </c>
      <c r="L21" s="310">
        <f t="shared" si="6"/>
        <v>0</v>
      </c>
      <c r="M21" s="297">
        <f t="shared" si="7"/>
        <v>0</v>
      </c>
      <c r="N21" s="290"/>
      <c r="O21" s="251">
        <v>0</v>
      </c>
      <c r="P21" s="251">
        <v>0</v>
      </c>
      <c r="Q21" s="310">
        <f t="shared" si="8"/>
        <v>0</v>
      </c>
      <c r="R21" s="355"/>
      <c r="S21" s="251">
        <f>S262</f>
        <v>9298000</v>
      </c>
      <c r="T21" s="251">
        <v>0</v>
      </c>
      <c r="U21" s="310">
        <f t="shared" si="9"/>
        <v>9298000</v>
      </c>
      <c r="V21" s="297">
        <f t="shared" si="0"/>
        <v>9298000</v>
      </c>
      <c r="W21" s="290"/>
      <c r="X21" s="251">
        <v>0</v>
      </c>
      <c r="Y21" s="251">
        <v>0</v>
      </c>
      <c r="Z21" s="310">
        <f t="shared" si="1"/>
        <v>0</v>
      </c>
      <c r="AA21" s="321"/>
      <c r="AB21" s="251">
        <v>0</v>
      </c>
      <c r="AC21" s="251">
        <v>0</v>
      </c>
      <c r="AD21" s="310">
        <f t="shared" si="2"/>
        <v>0</v>
      </c>
      <c r="AE21" s="297">
        <f t="shared" si="3"/>
        <v>0</v>
      </c>
      <c r="AF21" s="290"/>
      <c r="AG21" s="334">
        <f t="shared" si="10"/>
        <v>9298000</v>
      </c>
    </row>
    <row r="22" spans="1:33" s="236" customFormat="1" ht="15" customHeight="1">
      <c r="A22" s="359" t="s">
        <v>1080</v>
      </c>
      <c r="B22" s="252" t="s">
        <v>62</v>
      </c>
      <c r="C22" s="252" t="s">
        <v>1300</v>
      </c>
      <c r="D22" s="251">
        <v>0</v>
      </c>
      <c r="E22" s="251">
        <v>0</v>
      </c>
      <c r="F22" s="251">
        <f t="shared" si="4"/>
        <v>0</v>
      </c>
      <c r="G22" s="251">
        <v>0</v>
      </c>
      <c r="H22" s="310">
        <f t="shared" si="5"/>
        <v>0</v>
      </c>
      <c r="I22" s="290"/>
      <c r="J22" s="251">
        <v>0</v>
      </c>
      <c r="K22" s="251">
        <v>0</v>
      </c>
      <c r="L22" s="310">
        <f t="shared" si="6"/>
        <v>0</v>
      </c>
      <c r="M22" s="297">
        <f t="shared" si="7"/>
        <v>0</v>
      </c>
      <c r="N22" s="290"/>
      <c r="O22" s="251">
        <f>39100000-S21</f>
        <v>29802000</v>
      </c>
      <c r="P22" s="251">
        <v>0</v>
      </c>
      <c r="Q22" s="310">
        <f t="shared" si="8"/>
        <v>29802000</v>
      </c>
      <c r="R22" s="355"/>
      <c r="S22" s="251">
        <v>0</v>
      </c>
      <c r="T22" s="251">
        <v>0</v>
      </c>
      <c r="U22" s="310">
        <f t="shared" si="9"/>
        <v>0</v>
      </c>
      <c r="V22" s="297">
        <f t="shared" si="0"/>
        <v>29802000</v>
      </c>
      <c r="W22" s="290"/>
      <c r="X22" s="251">
        <v>0</v>
      </c>
      <c r="Y22" s="251">
        <v>0</v>
      </c>
      <c r="Z22" s="310">
        <f t="shared" si="1"/>
        <v>0</v>
      </c>
      <c r="AA22" s="321"/>
      <c r="AB22" s="251">
        <v>0</v>
      </c>
      <c r="AC22" s="251">
        <v>0</v>
      </c>
      <c r="AD22" s="310">
        <f t="shared" si="2"/>
        <v>0</v>
      </c>
      <c r="AE22" s="297">
        <f t="shared" si="3"/>
        <v>0</v>
      </c>
      <c r="AF22" s="290"/>
      <c r="AG22" s="334">
        <f t="shared" si="10"/>
        <v>29802000</v>
      </c>
    </row>
    <row r="23" spans="1:33" s="7" customFormat="1" ht="15" customHeight="1" hidden="1">
      <c r="A23" s="359" t="s">
        <v>1085</v>
      </c>
      <c r="B23" s="256"/>
      <c r="C23" s="256"/>
      <c r="D23" s="257">
        <v>0</v>
      </c>
      <c r="E23" s="257">
        <v>0</v>
      </c>
      <c r="F23" s="257">
        <f t="shared" si="4"/>
        <v>0</v>
      </c>
      <c r="G23" s="257">
        <v>0</v>
      </c>
      <c r="H23" s="311">
        <f t="shared" si="5"/>
        <v>0</v>
      </c>
      <c r="I23" s="291"/>
      <c r="J23" s="257">
        <v>0</v>
      </c>
      <c r="K23" s="257">
        <v>0</v>
      </c>
      <c r="L23" s="311">
        <f t="shared" si="6"/>
        <v>0</v>
      </c>
      <c r="M23" s="298">
        <f t="shared" si="7"/>
        <v>0</v>
      </c>
      <c r="N23" s="291"/>
      <c r="O23" s="257">
        <v>0</v>
      </c>
      <c r="P23" s="257">
        <v>0</v>
      </c>
      <c r="Q23" s="311">
        <f t="shared" si="8"/>
        <v>0</v>
      </c>
      <c r="R23" s="351"/>
      <c r="S23" s="257">
        <v>0</v>
      </c>
      <c r="T23" s="257">
        <v>0</v>
      </c>
      <c r="U23" s="311">
        <f t="shared" si="9"/>
        <v>0</v>
      </c>
      <c r="V23" s="298" t="e">
        <f>Q23+#REF!+#REF!+#REF!+U23</f>
        <v>#REF!</v>
      </c>
      <c r="W23" s="291"/>
      <c r="X23" s="257">
        <v>0</v>
      </c>
      <c r="Y23" s="257">
        <v>0</v>
      </c>
      <c r="Z23" s="311">
        <f t="shared" si="1"/>
        <v>0</v>
      </c>
      <c r="AA23" s="322"/>
      <c r="AB23" s="257">
        <v>0</v>
      </c>
      <c r="AC23" s="257">
        <v>0</v>
      </c>
      <c r="AD23" s="311">
        <f t="shared" si="2"/>
        <v>0</v>
      </c>
      <c r="AE23" s="298">
        <f t="shared" si="3"/>
        <v>0</v>
      </c>
      <c r="AF23" s="291"/>
      <c r="AG23" s="335" t="e">
        <f t="shared" si="10"/>
        <v>#REF!</v>
      </c>
    </row>
    <row r="24" spans="1:33" s="318" customFormat="1" ht="7.5" customHeight="1">
      <c r="A24" s="359" t="s">
        <v>1086</v>
      </c>
      <c r="B24" s="317"/>
      <c r="C24" s="317"/>
      <c r="D24" s="258"/>
      <c r="E24" s="258"/>
      <c r="F24" s="258"/>
      <c r="G24" s="258"/>
      <c r="H24" s="258"/>
      <c r="I24" s="291"/>
      <c r="J24" s="258"/>
      <c r="K24" s="258"/>
      <c r="L24" s="258"/>
      <c r="M24" s="258"/>
      <c r="N24" s="291"/>
      <c r="O24" s="258"/>
      <c r="P24" s="258"/>
      <c r="Q24" s="258"/>
      <c r="R24" s="351"/>
      <c r="S24" s="258"/>
      <c r="T24" s="258"/>
      <c r="U24" s="258"/>
      <c r="V24" s="258"/>
      <c r="W24" s="291"/>
      <c r="X24" s="258"/>
      <c r="Y24" s="258"/>
      <c r="Z24" s="258"/>
      <c r="AA24" s="322"/>
      <c r="AB24" s="258"/>
      <c r="AC24" s="258"/>
      <c r="AD24" s="258"/>
      <c r="AE24" s="258">
        <f t="shared" si="3"/>
        <v>0</v>
      </c>
      <c r="AF24" s="291"/>
      <c r="AG24" s="258"/>
    </row>
    <row r="25" spans="1:33" s="10" customFormat="1" ht="15" customHeight="1">
      <c r="A25" s="239" t="s">
        <v>1084</v>
      </c>
      <c r="B25" s="247" t="s">
        <v>918</v>
      </c>
      <c r="C25" s="247" t="s">
        <v>66</v>
      </c>
      <c r="D25" s="253">
        <f>SUM(D26:D42)</f>
        <v>0</v>
      </c>
      <c r="E25" s="253">
        <f>SUM(E26:E42)</f>
        <v>0</v>
      </c>
      <c r="F25" s="253">
        <f t="shared" si="4"/>
        <v>0</v>
      </c>
      <c r="G25" s="253">
        <f>SUM(G26:G42)</f>
        <v>0</v>
      </c>
      <c r="H25" s="309">
        <f t="shared" si="5"/>
        <v>0</v>
      </c>
      <c r="I25" s="289"/>
      <c r="J25" s="253">
        <f>SUM(J26:J42)</f>
        <v>0</v>
      </c>
      <c r="K25" s="253">
        <f>SUM(K26:K42)</f>
        <v>0</v>
      </c>
      <c r="L25" s="309">
        <f t="shared" si="6"/>
        <v>0</v>
      </c>
      <c r="M25" s="266">
        <f t="shared" si="7"/>
        <v>0</v>
      </c>
      <c r="N25" s="289"/>
      <c r="O25" s="253">
        <f>SUM(O26:O42)</f>
        <v>0</v>
      </c>
      <c r="P25" s="253">
        <f>SUM(P26:P42)</f>
        <v>0</v>
      </c>
      <c r="Q25" s="309">
        <f t="shared" si="8"/>
        <v>0</v>
      </c>
      <c r="R25" s="354"/>
      <c r="S25" s="253">
        <f>SUM(S26:S42)</f>
        <v>0</v>
      </c>
      <c r="T25" s="253">
        <f>SUM(T26:T42)</f>
        <v>0</v>
      </c>
      <c r="U25" s="309">
        <f t="shared" si="9"/>
        <v>0</v>
      </c>
      <c r="V25" s="266">
        <f aca="true" t="shared" si="11" ref="V25:V56">Q25+U25</f>
        <v>0</v>
      </c>
      <c r="W25" s="289"/>
      <c r="X25" s="253">
        <f>SUM(X26:X42)</f>
        <v>0</v>
      </c>
      <c r="Y25" s="253">
        <f>SUM(Y26:Y42)</f>
        <v>0</v>
      </c>
      <c r="Z25" s="309">
        <f aca="true" t="shared" si="12" ref="Z25:Z73">SUM(X25:Y25)</f>
        <v>0</v>
      </c>
      <c r="AA25" s="320"/>
      <c r="AB25" s="253">
        <f>SUM(AB26:AB42)</f>
        <v>0</v>
      </c>
      <c r="AC25" s="253">
        <f>SUM(AC26:AC42)</f>
        <v>0</v>
      </c>
      <c r="AD25" s="309">
        <f aca="true" t="shared" si="13" ref="AD25:AD73">SUM(AB25:AC25)</f>
        <v>0</v>
      </c>
      <c r="AE25" s="266">
        <f t="shared" si="3"/>
        <v>0</v>
      </c>
      <c r="AF25" s="289"/>
      <c r="AG25" s="285">
        <f aca="true" t="shared" si="14" ref="AG25:AG56">M25+V25+AE25</f>
        <v>0</v>
      </c>
    </row>
    <row r="26" spans="1:33" s="7" customFormat="1" ht="15" customHeight="1" hidden="1">
      <c r="A26" s="239" t="s">
        <v>1085</v>
      </c>
      <c r="B26" s="259" t="s">
        <v>67</v>
      </c>
      <c r="C26" s="259" t="s">
        <v>68</v>
      </c>
      <c r="D26" s="257">
        <v>0</v>
      </c>
      <c r="E26" s="257">
        <v>0</v>
      </c>
      <c r="F26" s="257">
        <f t="shared" si="4"/>
        <v>0</v>
      </c>
      <c r="G26" s="257">
        <v>0</v>
      </c>
      <c r="H26" s="311">
        <f t="shared" si="5"/>
        <v>0</v>
      </c>
      <c r="I26" s="291"/>
      <c r="J26" s="257">
        <v>0</v>
      </c>
      <c r="K26" s="257">
        <v>0</v>
      </c>
      <c r="L26" s="311">
        <f t="shared" si="6"/>
        <v>0</v>
      </c>
      <c r="M26" s="298">
        <f t="shared" si="7"/>
        <v>0</v>
      </c>
      <c r="N26" s="291"/>
      <c r="O26" s="257">
        <v>0</v>
      </c>
      <c r="P26" s="257">
        <v>0</v>
      </c>
      <c r="Q26" s="311">
        <f t="shared" si="8"/>
        <v>0</v>
      </c>
      <c r="R26" s="351"/>
      <c r="S26" s="257">
        <v>0</v>
      </c>
      <c r="T26" s="257">
        <v>0</v>
      </c>
      <c r="U26" s="311">
        <f t="shared" si="9"/>
        <v>0</v>
      </c>
      <c r="V26" s="298">
        <f t="shared" si="11"/>
        <v>0</v>
      </c>
      <c r="W26" s="291"/>
      <c r="X26" s="257">
        <v>0</v>
      </c>
      <c r="Y26" s="257">
        <v>0</v>
      </c>
      <c r="Z26" s="311">
        <f t="shared" si="12"/>
        <v>0</v>
      </c>
      <c r="AA26" s="322"/>
      <c r="AB26" s="251">
        <v>0</v>
      </c>
      <c r="AC26" s="257">
        <v>0</v>
      </c>
      <c r="AD26" s="311">
        <f t="shared" si="13"/>
        <v>0</v>
      </c>
      <c r="AE26" s="298">
        <f t="shared" si="3"/>
        <v>0</v>
      </c>
      <c r="AF26" s="291"/>
      <c r="AG26" s="335">
        <f t="shared" si="14"/>
        <v>0</v>
      </c>
    </row>
    <row r="27" spans="1:33" s="7" customFormat="1" ht="15" customHeight="1" hidden="1">
      <c r="A27" s="239" t="s">
        <v>1086</v>
      </c>
      <c r="B27" s="259" t="s">
        <v>69</v>
      </c>
      <c r="C27" s="259" t="s">
        <v>68</v>
      </c>
      <c r="D27" s="257">
        <v>0</v>
      </c>
      <c r="E27" s="257">
        <v>0</v>
      </c>
      <c r="F27" s="257">
        <f t="shared" si="4"/>
        <v>0</v>
      </c>
      <c r="G27" s="257">
        <v>0</v>
      </c>
      <c r="H27" s="311">
        <f t="shared" si="5"/>
        <v>0</v>
      </c>
      <c r="I27" s="291"/>
      <c r="J27" s="257">
        <v>0</v>
      </c>
      <c r="K27" s="257">
        <v>0</v>
      </c>
      <c r="L27" s="311">
        <f t="shared" si="6"/>
        <v>0</v>
      </c>
      <c r="M27" s="298">
        <f t="shared" si="7"/>
        <v>0</v>
      </c>
      <c r="N27" s="291"/>
      <c r="O27" s="257">
        <v>0</v>
      </c>
      <c r="P27" s="257">
        <v>0</v>
      </c>
      <c r="Q27" s="311">
        <f t="shared" si="8"/>
        <v>0</v>
      </c>
      <c r="R27" s="351"/>
      <c r="S27" s="257">
        <v>0</v>
      </c>
      <c r="T27" s="257">
        <v>0</v>
      </c>
      <c r="U27" s="311">
        <f t="shared" si="9"/>
        <v>0</v>
      </c>
      <c r="V27" s="298">
        <f t="shared" si="11"/>
        <v>0</v>
      </c>
      <c r="W27" s="291"/>
      <c r="X27" s="257">
        <v>0</v>
      </c>
      <c r="Y27" s="257">
        <v>0</v>
      </c>
      <c r="Z27" s="311">
        <f t="shared" si="12"/>
        <v>0</v>
      </c>
      <c r="AA27" s="322"/>
      <c r="AB27" s="257">
        <v>0</v>
      </c>
      <c r="AC27" s="257">
        <v>0</v>
      </c>
      <c r="AD27" s="311">
        <f t="shared" si="13"/>
        <v>0</v>
      </c>
      <c r="AE27" s="298">
        <f t="shared" si="3"/>
        <v>0</v>
      </c>
      <c r="AF27" s="291"/>
      <c r="AG27" s="335">
        <f t="shared" si="14"/>
        <v>0</v>
      </c>
    </row>
    <row r="28" spans="1:33" s="7" customFormat="1" ht="15" customHeight="1" hidden="1">
      <c r="A28" s="239" t="s">
        <v>1087</v>
      </c>
      <c r="B28" s="259" t="s">
        <v>70</v>
      </c>
      <c r="C28" s="259" t="s">
        <v>68</v>
      </c>
      <c r="D28" s="257">
        <v>0</v>
      </c>
      <c r="E28" s="257">
        <v>0</v>
      </c>
      <c r="F28" s="257">
        <f t="shared" si="4"/>
        <v>0</v>
      </c>
      <c r="G28" s="257">
        <v>0</v>
      </c>
      <c r="H28" s="311">
        <f t="shared" si="5"/>
        <v>0</v>
      </c>
      <c r="I28" s="291"/>
      <c r="J28" s="257">
        <v>0</v>
      </c>
      <c r="K28" s="257">
        <v>0</v>
      </c>
      <c r="L28" s="311">
        <f t="shared" si="6"/>
        <v>0</v>
      </c>
      <c r="M28" s="298">
        <f t="shared" si="7"/>
        <v>0</v>
      </c>
      <c r="N28" s="291"/>
      <c r="O28" s="257">
        <v>0</v>
      </c>
      <c r="P28" s="257">
        <v>0</v>
      </c>
      <c r="Q28" s="311">
        <f t="shared" si="8"/>
        <v>0</v>
      </c>
      <c r="R28" s="351"/>
      <c r="S28" s="257">
        <v>0</v>
      </c>
      <c r="T28" s="257">
        <v>0</v>
      </c>
      <c r="U28" s="311">
        <f t="shared" si="9"/>
        <v>0</v>
      </c>
      <c r="V28" s="298">
        <f t="shared" si="11"/>
        <v>0</v>
      </c>
      <c r="W28" s="291"/>
      <c r="X28" s="257">
        <v>0</v>
      </c>
      <c r="Y28" s="257">
        <v>0</v>
      </c>
      <c r="Z28" s="311">
        <f t="shared" si="12"/>
        <v>0</v>
      </c>
      <c r="AA28" s="322"/>
      <c r="AB28" s="257">
        <v>0</v>
      </c>
      <c r="AC28" s="257">
        <v>0</v>
      </c>
      <c r="AD28" s="311">
        <f t="shared" si="13"/>
        <v>0</v>
      </c>
      <c r="AE28" s="298">
        <f t="shared" si="3"/>
        <v>0</v>
      </c>
      <c r="AF28" s="291"/>
      <c r="AG28" s="335">
        <f t="shared" si="14"/>
        <v>0</v>
      </c>
    </row>
    <row r="29" spans="1:33" s="7" customFormat="1" ht="15" customHeight="1" hidden="1">
      <c r="A29" s="239" t="s">
        <v>1088</v>
      </c>
      <c r="B29" s="259" t="s">
        <v>71</v>
      </c>
      <c r="C29" s="259" t="s">
        <v>68</v>
      </c>
      <c r="D29" s="257">
        <v>0</v>
      </c>
      <c r="E29" s="257">
        <v>0</v>
      </c>
      <c r="F29" s="257">
        <f t="shared" si="4"/>
        <v>0</v>
      </c>
      <c r="G29" s="257">
        <v>0</v>
      </c>
      <c r="H29" s="311">
        <f t="shared" si="5"/>
        <v>0</v>
      </c>
      <c r="I29" s="291"/>
      <c r="J29" s="257">
        <v>0</v>
      </c>
      <c r="K29" s="257">
        <v>0</v>
      </c>
      <c r="L29" s="311">
        <f t="shared" si="6"/>
        <v>0</v>
      </c>
      <c r="M29" s="298">
        <f t="shared" si="7"/>
        <v>0</v>
      </c>
      <c r="N29" s="291"/>
      <c r="O29" s="257">
        <v>0</v>
      </c>
      <c r="P29" s="257">
        <v>0</v>
      </c>
      <c r="Q29" s="311">
        <f t="shared" si="8"/>
        <v>0</v>
      </c>
      <c r="R29" s="351"/>
      <c r="S29" s="257">
        <v>0</v>
      </c>
      <c r="T29" s="257">
        <v>0</v>
      </c>
      <c r="U29" s="311">
        <f t="shared" si="9"/>
        <v>0</v>
      </c>
      <c r="V29" s="298">
        <f t="shared" si="11"/>
        <v>0</v>
      </c>
      <c r="W29" s="291"/>
      <c r="X29" s="257">
        <v>0</v>
      </c>
      <c r="Y29" s="257">
        <v>0</v>
      </c>
      <c r="Z29" s="311">
        <f t="shared" si="12"/>
        <v>0</v>
      </c>
      <c r="AA29" s="322"/>
      <c r="AB29" s="257">
        <v>0</v>
      </c>
      <c r="AC29" s="257">
        <v>0</v>
      </c>
      <c r="AD29" s="311">
        <f t="shared" si="13"/>
        <v>0</v>
      </c>
      <c r="AE29" s="298">
        <f t="shared" si="3"/>
        <v>0</v>
      </c>
      <c r="AF29" s="291"/>
      <c r="AG29" s="335">
        <f t="shared" si="14"/>
        <v>0</v>
      </c>
    </row>
    <row r="30" spans="1:33" s="7" customFormat="1" ht="15" customHeight="1" hidden="1">
      <c r="A30" s="239" t="s">
        <v>1089</v>
      </c>
      <c r="B30" s="259" t="s">
        <v>72</v>
      </c>
      <c r="C30" s="259" t="s">
        <v>68</v>
      </c>
      <c r="D30" s="257">
        <v>0</v>
      </c>
      <c r="E30" s="257">
        <v>0</v>
      </c>
      <c r="F30" s="257">
        <f t="shared" si="4"/>
        <v>0</v>
      </c>
      <c r="G30" s="257">
        <v>0</v>
      </c>
      <c r="H30" s="311">
        <f t="shared" si="5"/>
        <v>0</v>
      </c>
      <c r="I30" s="291"/>
      <c r="J30" s="257">
        <v>0</v>
      </c>
      <c r="K30" s="257">
        <v>0</v>
      </c>
      <c r="L30" s="311">
        <f t="shared" si="6"/>
        <v>0</v>
      </c>
      <c r="M30" s="298">
        <f t="shared" si="7"/>
        <v>0</v>
      </c>
      <c r="N30" s="291"/>
      <c r="O30" s="257">
        <v>0</v>
      </c>
      <c r="P30" s="257">
        <v>0</v>
      </c>
      <c r="Q30" s="311">
        <f t="shared" si="8"/>
        <v>0</v>
      </c>
      <c r="R30" s="351"/>
      <c r="S30" s="257">
        <v>0</v>
      </c>
      <c r="T30" s="257">
        <v>0</v>
      </c>
      <c r="U30" s="311">
        <f t="shared" si="9"/>
        <v>0</v>
      </c>
      <c r="V30" s="298">
        <f t="shared" si="11"/>
        <v>0</v>
      </c>
      <c r="W30" s="291"/>
      <c r="X30" s="257">
        <v>0</v>
      </c>
      <c r="Y30" s="257">
        <v>0</v>
      </c>
      <c r="Z30" s="311">
        <f t="shared" si="12"/>
        <v>0</v>
      </c>
      <c r="AA30" s="322"/>
      <c r="AB30" s="257">
        <v>0</v>
      </c>
      <c r="AC30" s="257">
        <v>0</v>
      </c>
      <c r="AD30" s="311">
        <f t="shared" si="13"/>
        <v>0</v>
      </c>
      <c r="AE30" s="298">
        <f t="shared" si="3"/>
        <v>0</v>
      </c>
      <c r="AF30" s="291"/>
      <c r="AG30" s="335">
        <f t="shared" si="14"/>
        <v>0</v>
      </c>
    </row>
    <row r="31" spans="1:33" s="7" customFormat="1" ht="15" customHeight="1" hidden="1">
      <c r="A31" s="239" t="s">
        <v>1090</v>
      </c>
      <c r="B31" s="259" t="s">
        <v>73</v>
      </c>
      <c r="C31" s="259" t="s">
        <v>68</v>
      </c>
      <c r="D31" s="257">
        <v>0</v>
      </c>
      <c r="E31" s="257">
        <v>0</v>
      </c>
      <c r="F31" s="257">
        <f t="shared" si="4"/>
        <v>0</v>
      </c>
      <c r="G31" s="257">
        <v>0</v>
      </c>
      <c r="H31" s="311">
        <f t="shared" si="5"/>
        <v>0</v>
      </c>
      <c r="I31" s="291"/>
      <c r="J31" s="257">
        <v>0</v>
      </c>
      <c r="K31" s="257">
        <v>0</v>
      </c>
      <c r="L31" s="311">
        <f t="shared" si="6"/>
        <v>0</v>
      </c>
      <c r="M31" s="298">
        <f t="shared" si="7"/>
        <v>0</v>
      </c>
      <c r="N31" s="291"/>
      <c r="O31" s="257">
        <v>0</v>
      </c>
      <c r="P31" s="257">
        <v>0</v>
      </c>
      <c r="Q31" s="311">
        <f t="shared" si="8"/>
        <v>0</v>
      </c>
      <c r="R31" s="351"/>
      <c r="S31" s="257">
        <v>0</v>
      </c>
      <c r="T31" s="257">
        <v>0</v>
      </c>
      <c r="U31" s="311">
        <f t="shared" si="9"/>
        <v>0</v>
      </c>
      <c r="V31" s="298">
        <f t="shared" si="11"/>
        <v>0</v>
      </c>
      <c r="W31" s="291"/>
      <c r="X31" s="257">
        <v>0</v>
      </c>
      <c r="Y31" s="257">
        <v>0</v>
      </c>
      <c r="Z31" s="311">
        <f t="shared" si="12"/>
        <v>0</v>
      </c>
      <c r="AA31" s="322"/>
      <c r="AB31" s="257">
        <v>0</v>
      </c>
      <c r="AC31" s="257">
        <v>0</v>
      </c>
      <c r="AD31" s="311">
        <f t="shared" si="13"/>
        <v>0</v>
      </c>
      <c r="AE31" s="298">
        <f t="shared" si="3"/>
        <v>0</v>
      </c>
      <c r="AF31" s="291"/>
      <c r="AG31" s="335">
        <f t="shared" si="14"/>
        <v>0</v>
      </c>
    </row>
    <row r="32" spans="1:33" s="7" customFormat="1" ht="15" customHeight="1" hidden="1">
      <c r="A32" s="239" t="s">
        <v>1091</v>
      </c>
      <c r="B32" s="259" t="s">
        <v>74</v>
      </c>
      <c r="C32" s="259" t="s">
        <v>68</v>
      </c>
      <c r="D32" s="257">
        <v>0</v>
      </c>
      <c r="E32" s="257">
        <v>0</v>
      </c>
      <c r="F32" s="257">
        <f t="shared" si="4"/>
        <v>0</v>
      </c>
      <c r="G32" s="257">
        <v>0</v>
      </c>
      <c r="H32" s="311">
        <f t="shared" si="5"/>
        <v>0</v>
      </c>
      <c r="I32" s="291"/>
      <c r="J32" s="257">
        <v>0</v>
      </c>
      <c r="K32" s="257">
        <v>0</v>
      </c>
      <c r="L32" s="311">
        <f t="shared" si="6"/>
        <v>0</v>
      </c>
      <c r="M32" s="298">
        <f t="shared" si="7"/>
        <v>0</v>
      </c>
      <c r="N32" s="291"/>
      <c r="O32" s="257">
        <v>0</v>
      </c>
      <c r="P32" s="257">
        <v>0</v>
      </c>
      <c r="Q32" s="311">
        <f t="shared" si="8"/>
        <v>0</v>
      </c>
      <c r="R32" s="351"/>
      <c r="S32" s="257">
        <v>0</v>
      </c>
      <c r="T32" s="257">
        <v>0</v>
      </c>
      <c r="U32" s="311">
        <f t="shared" si="9"/>
        <v>0</v>
      </c>
      <c r="V32" s="298">
        <f t="shared" si="11"/>
        <v>0</v>
      </c>
      <c r="W32" s="291"/>
      <c r="X32" s="257">
        <v>0</v>
      </c>
      <c r="Y32" s="257">
        <v>0</v>
      </c>
      <c r="Z32" s="311">
        <f t="shared" si="12"/>
        <v>0</v>
      </c>
      <c r="AA32" s="322"/>
      <c r="AB32" s="257">
        <v>0</v>
      </c>
      <c r="AC32" s="257">
        <v>0</v>
      </c>
      <c r="AD32" s="311">
        <f t="shared" si="13"/>
        <v>0</v>
      </c>
      <c r="AE32" s="298">
        <f t="shared" si="3"/>
        <v>0</v>
      </c>
      <c r="AF32" s="291"/>
      <c r="AG32" s="335">
        <f t="shared" si="14"/>
        <v>0</v>
      </c>
    </row>
    <row r="33" spans="1:33" s="7" customFormat="1" ht="15" customHeight="1" hidden="1">
      <c r="A33" s="239" t="s">
        <v>1092</v>
      </c>
      <c r="B33" s="259" t="s">
        <v>75</v>
      </c>
      <c r="C33" s="259" t="s">
        <v>68</v>
      </c>
      <c r="D33" s="257">
        <v>0</v>
      </c>
      <c r="E33" s="257">
        <v>0</v>
      </c>
      <c r="F33" s="257">
        <f t="shared" si="4"/>
        <v>0</v>
      </c>
      <c r="G33" s="257">
        <v>0</v>
      </c>
      <c r="H33" s="311">
        <f t="shared" si="5"/>
        <v>0</v>
      </c>
      <c r="I33" s="291"/>
      <c r="J33" s="257">
        <v>0</v>
      </c>
      <c r="K33" s="257">
        <v>0</v>
      </c>
      <c r="L33" s="311">
        <f t="shared" si="6"/>
        <v>0</v>
      </c>
      <c r="M33" s="298">
        <f t="shared" si="7"/>
        <v>0</v>
      </c>
      <c r="N33" s="291"/>
      <c r="O33" s="257">
        <v>0</v>
      </c>
      <c r="P33" s="257">
        <v>0</v>
      </c>
      <c r="Q33" s="311">
        <f t="shared" si="8"/>
        <v>0</v>
      </c>
      <c r="R33" s="351"/>
      <c r="S33" s="257">
        <v>0</v>
      </c>
      <c r="T33" s="257">
        <v>0</v>
      </c>
      <c r="U33" s="311">
        <f t="shared" si="9"/>
        <v>0</v>
      </c>
      <c r="V33" s="298">
        <f t="shared" si="11"/>
        <v>0</v>
      </c>
      <c r="W33" s="291"/>
      <c r="X33" s="257">
        <v>0</v>
      </c>
      <c r="Y33" s="257">
        <v>0</v>
      </c>
      <c r="Z33" s="311">
        <f t="shared" si="12"/>
        <v>0</v>
      </c>
      <c r="AA33" s="322"/>
      <c r="AB33" s="257">
        <v>0</v>
      </c>
      <c r="AC33" s="257">
        <v>0</v>
      </c>
      <c r="AD33" s="311">
        <f t="shared" si="13"/>
        <v>0</v>
      </c>
      <c r="AE33" s="298">
        <f t="shared" si="3"/>
        <v>0</v>
      </c>
      <c r="AF33" s="291"/>
      <c r="AG33" s="335">
        <f t="shared" si="14"/>
        <v>0</v>
      </c>
    </row>
    <row r="34" spans="1:33" s="7" customFormat="1" ht="15" customHeight="1" hidden="1">
      <c r="A34" s="239" t="s">
        <v>1093</v>
      </c>
      <c r="B34" s="259" t="s">
        <v>76</v>
      </c>
      <c r="C34" s="259" t="s">
        <v>68</v>
      </c>
      <c r="D34" s="257">
        <v>0</v>
      </c>
      <c r="E34" s="257">
        <v>0</v>
      </c>
      <c r="F34" s="257">
        <f t="shared" si="4"/>
        <v>0</v>
      </c>
      <c r="G34" s="257">
        <v>0</v>
      </c>
      <c r="H34" s="311">
        <f t="shared" si="5"/>
        <v>0</v>
      </c>
      <c r="I34" s="291"/>
      <c r="J34" s="257">
        <v>0</v>
      </c>
      <c r="K34" s="257">
        <v>0</v>
      </c>
      <c r="L34" s="311">
        <f t="shared" si="6"/>
        <v>0</v>
      </c>
      <c r="M34" s="298">
        <f t="shared" si="7"/>
        <v>0</v>
      </c>
      <c r="N34" s="291"/>
      <c r="O34" s="257">
        <v>0</v>
      </c>
      <c r="P34" s="257">
        <v>0</v>
      </c>
      <c r="Q34" s="311">
        <f t="shared" si="8"/>
        <v>0</v>
      </c>
      <c r="R34" s="351"/>
      <c r="S34" s="257">
        <v>0</v>
      </c>
      <c r="T34" s="257">
        <v>0</v>
      </c>
      <c r="U34" s="311">
        <f t="shared" si="9"/>
        <v>0</v>
      </c>
      <c r="V34" s="298">
        <f t="shared" si="11"/>
        <v>0</v>
      </c>
      <c r="W34" s="291"/>
      <c r="X34" s="257">
        <v>0</v>
      </c>
      <c r="Y34" s="257">
        <v>0</v>
      </c>
      <c r="Z34" s="311">
        <f t="shared" si="12"/>
        <v>0</v>
      </c>
      <c r="AA34" s="322"/>
      <c r="AB34" s="257">
        <v>0</v>
      </c>
      <c r="AC34" s="257">
        <v>0</v>
      </c>
      <c r="AD34" s="311">
        <f t="shared" si="13"/>
        <v>0</v>
      </c>
      <c r="AE34" s="298">
        <f t="shared" si="3"/>
        <v>0</v>
      </c>
      <c r="AF34" s="291"/>
      <c r="AG34" s="335">
        <f t="shared" si="14"/>
        <v>0</v>
      </c>
    </row>
    <row r="35" spans="1:33" s="7" customFormat="1" ht="15" customHeight="1" hidden="1">
      <c r="A35" s="239" t="s">
        <v>1094</v>
      </c>
      <c r="B35" s="259" t="s">
        <v>77</v>
      </c>
      <c r="C35" s="259" t="s">
        <v>68</v>
      </c>
      <c r="D35" s="257">
        <v>0</v>
      </c>
      <c r="E35" s="257">
        <v>0</v>
      </c>
      <c r="F35" s="257">
        <f t="shared" si="4"/>
        <v>0</v>
      </c>
      <c r="G35" s="257">
        <v>0</v>
      </c>
      <c r="H35" s="311">
        <f t="shared" si="5"/>
        <v>0</v>
      </c>
      <c r="I35" s="291"/>
      <c r="J35" s="257">
        <v>0</v>
      </c>
      <c r="K35" s="257">
        <v>0</v>
      </c>
      <c r="L35" s="311">
        <f t="shared" si="6"/>
        <v>0</v>
      </c>
      <c r="M35" s="298">
        <f t="shared" si="7"/>
        <v>0</v>
      </c>
      <c r="N35" s="291"/>
      <c r="O35" s="257">
        <v>0</v>
      </c>
      <c r="P35" s="257">
        <v>0</v>
      </c>
      <c r="Q35" s="311">
        <f t="shared" si="8"/>
        <v>0</v>
      </c>
      <c r="R35" s="351"/>
      <c r="S35" s="257">
        <v>0</v>
      </c>
      <c r="T35" s="257">
        <v>0</v>
      </c>
      <c r="U35" s="311">
        <f t="shared" si="9"/>
        <v>0</v>
      </c>
      <c r="V35" s="298">
        <f t="shared" si="11"/>
        <v>0</v>
      </c>
      <c r="W35" s="291"/>
      <c r="X35" s="257">
        <v>0</v>
      </c>
      <c r="Y35" s="257">
        <v>0</v>
      </c>
      <c r="Z35" s="311">
        <f t="shared" si="12"/>
        <v>0</v>
      </c>
      <c r="AA35" s="322"/>
      <c r="AB35" s="257">
        <v>0</v>
      </c>
      <c r="AC35" s="257">
        <v>0</v>
      </c>
      <c r="AD35" s="311">
        <f t="shared" si="13"/>
        <v>0</v>
      </c>
      <c r="AE35" s="298">
        <f t="shared" si="3"/>
        <v>0</v>
      </c>
      <c r="AF35" s="291"/>
      <c r="AG35" s="335">
        <f t="shared" si="14"/>
        <v>0</v>
      </c>
    </row>
    <row r="36" spans="1:33" s="7" customFormat="1" ht="15" customHeight="1" hidden="1">
      <c r="A36" s="239" t="s">
        <v>1095</v>
      </c>
      <c r="B36" s="259" t="s">
        <v>78</v>
      </c>
      <c r="C36" s="259" t="s">
        <v>68</v>
      </c>
      <c r="D36" s="257">
        <v>0</v>
      </c>
      <c r="E36" s="257">
        <v>0</v>
      </c>
      <c r="F36" s="257">
        <f t="shared" si="4"/>
        <v>0</v>
      </c>
      <c r="G36" s="257">
        <v>0</v>
      </c>
      <c r="H36" s="311">
        <f t="shared" si="5"/>
        <v>0</v>
      </c>
      <c r="I36" s="291"/>
      <c r="J36" s="257">
        <v>0</v>
      </c>
      <c r="K36" s="257">
        <v>0</v>
      </c>
      <c r="L36" s="311">
        <f t="shared" si="6"/>
        <v>0</v>
      </c>
      <c r="M36" s="298">
        <f t="shared" si="7"/>
        <v>0</v>
      </c>
      <c r="N36" s="291"/>
      <c r="O36" s="257">
        <v>0</v>
      </c>
      <c r="P36" s="257">
        <v>0</v>
      </c>
      <c r="Q36" s="311">
        <f t="shared" si="8"/>
        <v>0</v>
      </c>
      <c r="R36" s="351"/>
      <c r="S36" s="257">
        <v>0</v>
      </c>
      <c r="T36" s="257">
        <v>0</v>
      </c>
      <c r="U36" s="311">
        <f t="shared" si="9"/>
        <v>0</v>
      </c>
      <c r="V36" s="298">
        <f t="shared" si="11"/>
        <v>0</v>
      </c>
      <c r="W36" s="291"/>
      <c r="X36" s="257">
        <v>0</v>
      </c>
      <c r="Y36" s="257">
        <v>0</v>
      </c>
      <c r="Z36" s="311">
        <f t="shared" si="12"/>
        <v>0</v>
      </c>
      <c r="AA36" s="322"/>
      <c r="AB36" s="257">
        <v>0</v>
      </c>
      <c r="AC36" s="257">
        <v>0</v>
      </c>
      <c r="AD36" s="311">
        <f t="shared" si="13"/>
        <v>0</v>
      </c>
      <c r="AE36" s="298">
        <f t="shared" si="3"/>
        <v>0</v>
      </c>
      <c r="AF36" s="291"/>
      <c r="AG36" s="335">
        <f t="shared" si="14"/>
        <v>0</v>
      </c>
    </row>
    <row r="37" spans="1:33" s="7" customFormat="1" ht="15" customHeight="1" hidden="1">
      <c r="A37" s="239" t="s">
        <v>1096</v>
      </c>
      <c r="B37" s="259" t="s">
        <v>79</v>
      </c>
      <c r="C37" s="259" t="s">
        <v>68</v>
      </c>
      <c r="D37" s="257">
        <v>0</v>
      </c>
      <c r="E37" s="257">
        <v>0</v>
      </c>
      <c r="F37" s="257">
        <f t="shared" si="4"/>
        <v>0</v>
      </c>
      <c r="G37" s="257">
        <v>0</v>
      </c>
      <c r="H37" s="311">
        <f t="shared" si="5"/>
        <v>0</v>
      </c>
      <c r="I37" s="291"/>
      <c r="J37" s="257">
        <v>0</v>
      </c>
      <c r="K37" s="257">
        <v>0</v>
      </c>
      <c r="L37" s="311">
        <f t="shared" si="6"/>
        <v>0</v>
      </c>
      <c r="M37" s="298">
        <f t="shared" si="7"/>
        <v>0</v>
      </c>
      <c r="N37" s="291"/>
      <c r="O37" s="257">
        <v>0</v>
      </c>
      <c r="P37" s="257">
        <v>0</v>
      </c>
      <c r="Q37" s="311">
        <f t="shared" si="8"/>
        <v>0</v>
      </c>
      <c r="R37" s="351"/>
      <c r="S37" s="257">
        <v>0</v>
      </c>
      <c r="T37" s="257">
        <v>0</v>
      </c>
      <c r="U37" s="311">
        <f t="shared" si="9"/>
        <v>0</v>
      </c>
      <c r="V37" s="298">
        <f t="shared" si="11"/>
        <v>0</v>
      </c>
      <c r="W37" s="291"/>
      <c r="X37" s="257">
        <v>0</v>
      </c>
      <c r="Y37" s="257">
        <v>0</v>
      </c>
      <c r="Z37" s="311">
        <f t="shared" si="12"/>
        <v>0</v>
      </c>
      <c r="AA37" s="322"/>
      <c r="AB37" s="257">
        <v>0</v>
      </c>
      <c r="AC37" s="257">
        <v>0</v>
      </c>
      <c r="AD37" s="311">
        <f t="shared" si="13"/>
        <v>0</v>
      </c>
      <c r="AE37" s="298">
        <f aca="true" t="shared" si="15" ref="AE37:AE68">Z37+AD37</f>
        <v>0</v>
      </c>
      <c r="AF37" s="291"/>
      <c r="AG37" s="335">
        <f t="shared" si="14"/>
        <v>0</v>
      </c>
    </row>
    <row r="38" spans="1:33" s="7" customFormat="1" ht="15" customHeight="1" hidden="1">
      <c r="A38" s="239" t="s">
        <v>1097</v>
      </c>
      <c r="B38" s="259" t="s">
        <v>80</v>
      </c>
      <c r="C38" s="259" t="s">
        <v>68</v>
      </c>
      <c r="D38" s="257">
        <v>0</v>
      </c>
      <c r="E38" s="257">
        <v>0</v>
      </c>
      <c r="F38" s="257">
        <f t="shared" si="4"/>
        <v>0</v>
      </c>
      <c r="G38" s="257">
        <v>0</v>
      </c>
      <c r="H38" s="311">
        <f t="shared" si="5"/>
        <v>0</v>
      </c>
      <c r="I38" s="291"/>
      <c r="J38" s="257">
        <v>0</v>
      </c>
      <c r="K38" s="257">
        <v>0</v>
      </c>
      <c r="L38" s="311">
        <f t="shared" si="6"/>
        <v>0</v>
      </c>
      <c r="M38" s="298">
        <f t="shared" si="7"/>
        <v>0</v>
      </c>
      <c r="N38" s="291"/>
      <c r="O38" s="257">
        <v>0</v>
      </c>
      <c r="P38" s="257">
        <v>0</v>
      </c>
      <c r="Q38" s="311">
        <f t="shared" si="8"/>
        <v>0</v>
      </c>
      <c r="R38" s="351"/>
      <c r="S38" s="257">
        <v>0</v>
      </c>
      <c r="T38" s="257">
        <v>0</v>
      </c>
      <c r="U38" s="311">
        <f t="shared" si="9"/>
        <v>0</v>
      </c>
      <c r="V38" s="298">
        <f t="shared" si="11"/>
        <v>0</v>
      </c>
      <c r="W38" s="291"/>
      <c r="X38" s="257">
        <v>0</v>
      </c>
      <c r="Y38" s="257">
        <v>0</v>
      </c>
      <c r="Z38" s="311">
        <f t="shared" si="12"/>
        <v>0</v>
      </c>
      <c r="AA38" s="322"/>
      <c r="AB38" s="257">
        <v>0</v>
      </c>
      <c r="AC38" s="257">
        <v>0</v>
      </c>
      <c r="AD38" s="311">
        <f t="shared" si="13"/>
        <v>0</v>
      </c>
      <c r="AE38" s="298">
        <f t="shared" si="15"/>
        <v>0</v>
      </c>
      <c r="AF38" s="291"/>
      <c r="AG38" s="335">
        <f t="shared" si="14"/>
        <v>0</v>
      </c>
    </row>
    <row r="39" spans="1:33" s="7" customFormat="1" ht="15" customHeight="1" hidden="1">
      <c r="A39" s="239" t="s">
        <v>1098</v>
      </c>
      <c r="B39" s="259" t="s">
        <v>81</v>
      </c>
      <c r="C39" s="259" t="s">
        <v>68</v>
      </c>
      <c r="D39" s="257">
        <v>0</v>
      </c>
      <c r="E39" s="257">
        <v>0</v>
      </c>
      <c r="F39" s="257">
        <f t="shared" si="4"/>
        <v>0</v>
      </c>
      <c r="G39" s="257">
        <v>0</v>
      </c>
      <c r="H39" s="311">
        <f t="shared" si="5"/>
        <v>0</v>
      </c>
      <c r="I39" s="291"/>
      <c r="J39" s="257">
        <v>0</v>
      </c>
      <c r="K39" s="257">
        <v>0</v>
      </c>
      <c r="L39" s="311">
        <f t="shared" si="6"/>
        <v>0</v>
      </c>
      <c r="M39" s="298">
        <f t="shared" si="7"/>
        <v>0</v>
      </c>
      <c r="N39" s="291"/>
      <c r="O39" s="257">
        <v>0</v>
      </c>
      <c r="P39" s="257">
        <v>0</v>
      </c>
      <c r="Q39" s="311">
        <f t="shared" si="8"/>
        <v>0</v>
      </c>
      <c r="R39" s="351"/>
      <c r="S39" s="257">
        <v>0</v>
      </c>
      <c r="T39" s="257">
        <v>0</v>
      </c>
      <c r="U39" s="311">
        <f t="shared" si="9"/>
        <v>0</v>
      </c>
      <c r="V39" s="298">
        <f t="shared" si="11"/>
        <v>0</v>
      </c>
      <c r="W39" s="291"/>
      <c r="X39" s="257">
        <v>0</v>
      </c>
      <c r="Y39" s="257">
        <v>0</v>
      </c>
      <c r="Z39" s="311">
        <f t="shared" si="12"/>
        <v>0</v>
      </c>
      <c r="AA39" s="322"/>
      <c r="AB39" s="257">
        <v>0</v>
      </c>
      <c r="AC39" s="257">
        <v>0</v>
      </c>
      <c r="AD39" s="311">
        <f t="shared" si="13"/>
        <v>0</v>
      </c>
      <c r="AE39" s="298">
        <f t="shared" si="15"/>
        <v>0</v>
      </c>
      <c r="AF39" s="291"/>
      <c r="AG39" s="335">
        <f t="shared" si="14"/>
        <v>0</v>
      </c>
    </row>
    <row r="40" spans="1:33" s="7" customFormat="1" ht="15" customHeight="1" hidden="1">
      <c r="A40" s="239" t="s">
        <v>1099</v>
      </c>
      <c r="B40" s="259" t="s">
        <v>82</v>
      </c>
      <c r="C40" s="259" t="s">
        <v>68</v>
      </c>
      <c r="D40" s="257">
        <v>0</v>
      </c>
      <c r="E40" s="257">
        <v>0</v>
      </c>
      <c r="F40" s="257">
        <f t="shared" si="4"/>
        <v>0</v>
      </c>
      <c r="G40" s="257">
        <v>0</v>
      </c>
      <c r="H40" s="311">
        <f t="shared" si="5"/>
        <v>0</v>
      </c>
      <c r="I40" s="291"/>
      <c r="J40" s="257">
        <v>0</v>
      </c>
      <c r="K40" s="257">
        <v>0</v>
      </c>
      <c r="L40" s="311">
        <f t="shared" si="6"/>
        <v>0</v>
      </c>
      <c r="M40" s="298">
        <f t="shared" si="7"/>
        <v>0</v>
      </c>
      <c r="N40" s="291"/>
      <c r="O40" s="257">
        <v>0</v>
      </c>
      <c r="P40" s="257">
        <v>0</v>
      </c>
      <c r="Q40" s="311">
        <f t="shared" si="8"/>
        <v>0</v>
      </c>
      <c r="R40" s="351"/>
      <c r="S40" s="257">
        <v>0</v>
      </c>
      <c r="T40" s="257">
        <v>0</v>
      </c>
      <c r="U40" s="311">
        <f t="shared" si="9"/>
        <v>0</v>
      </c>
      <c r="V40" s="298">
        <f t="shared" si="11"/>
        <v>0</v>
      </c>
      <c r="W40" s="291"/>
      <c r="X40" s="257">
        <v>0</v>
      </c>
      <c r="Y40" s="257">
        <v>0</v>
      </c>
      <c r="Z40" s="311">
        <f t="shared" si="12"/>
        <v>0</v>
      </c>
      <c r="AA40" s="322"/>
      <c r="AB40" s="257">
        <v>0</v>
      </c>
      <c r="AC40" s="257">
        <v>0</v>
      </c>
      <c r="AD40" s="311">
        <f t="shared" si="13"/>
        <v>0</v>
      </c>
      <c r="AE40" s="298">
        <f t="shared" si="15"/>
        <v>0</v>
      </c>
      <c r="AF40" s="291"/>
      <c r="AG40" s="335">
        <f t="shared" si="14"/>
        <v>0</v>
      </c>
    </row>
    <row r="41" spans="1:33" s="7" customFormat="1" ht="15" customHeight="1" hidden="1">
      <c r="A41" s="239" t="s">
        <v>1100</v>
      </c>
      <c r="B41" s="259" t="s">
        <v>83</v>
      </c>
      <c r="C41" s="259" t="s">
        <v>68</v>
      </c>
      <c r="D41" s="257">
        <v>0</v>
      </c>
      <c r="E41" s="257">
        <v>0</v>
      </c>
      <c r="F41" s="257">
        <f t="shared" si="4"/>
        <v>0</v>
      </c>
      <c r="G41" s="257">
        <v>0</v>
      </c>
      <c r="H41" s="311">
        <f t="shared" si="5"/>
        <v>0</v>
      </c>
      <c r="I41" s="291"/>
      <c r="J41" s="257">
        <v>0</v>
      </c>
      <c r="K41" s="257">
        <v>0</v>
      </c>
      <c r="L41" s="311">
        <f t="shared" si="6"/>
        <v>0</v>
      </c>
      <c r="M41" s="298">
        <f t="shared" si="7"/>
        <v>0</v>
      </c>
      <c r="N41" s="291"/>
      <c r="O41" s="257">
        <v>0</v>
      </c>
      <c r="P41" s="257">
        <v>0</v>
      </c>
      <c r="Q41" s="311">
        <f t="shared" si="8"/>
        <v>0</v>
      </c>
      <c r="R41" s="351"/>
      <c r="S41" s="257">
        <v>0</v>
      </c>
      <c r="T41" s="257">
        <v>0</v>
      </c>
      <c r="U41" s="311">
        <f t="shared" si="9"/>
        <v>0</v>
      </c>
      <c r="V41" s="298">
        <f t="shared" si="11"/>
        <v>0</v>
      </c>
      <c r="W41" s="291"/>
      <c r="X41" s="257">
        <v>0</v>
      </c>
      <c r="Y41" s="257">
        <v>0</v>
      </c>
      <c r="Z41" s="311">
        <f t="shared" si="12"/>
        <v>0</v>
      </c>
      <c r="AA41" s="322"/>
      <c r="AB41" s="257">
        <v>0</v>
      </c>
      <c r="AC41" s="257">
        <v>0</v>
      </c>
      <c r="AD41" s="311">
        <f t="shared" si="13"/>
        <v>0</v>
      </c>
      <c r="AE41" s="298">
        <f t="shared" si="15"/>
        <v>0</v>
      </c>
      <c r="AF41" s="291"/>
      <c r="AG41" s="335">
        <f t="shared" si="14"/>
        <v>0</v>
      </c>
    </row>
    <row r="42" spans="1:33" s="7" customFormat="1" ht="15" customHeight="1" hidden="1">
      <c r="A42" s="239" t="s">
        <v>1101</v>
      </c>
      <c r="B42" s="259" t="s">
        <v>84</v>
      </c>
      <c r="C42" s="259" t="s">
        <v>68</v>
      </c>
      <c r="D42" s="257">
        <v>0</v>
      </c>
      <c r="E42" s="257">
        <v>0</v>
      </c>
      <c r="F42" s="257">
        <f t="shared" si="4"/>
        <v>0</v>
      </c>
      <c r="G42" s="257">
        <v>0</v>
      </c>
      <c r="H42" s="311">
        <f t="shared" si="5"/>
        <v>0</v>
      </c>
      <c r="I42" s="291"/>
      <c r="J42" s="257">
        <v>0</v>
      </c>
      <c r="K42" s="257">
        <v>0</v>
      </c>
      <c r="L42" s="311">
        <f t="shared" si="6"/>
        <v>0</v>
      </c>
      <c r="M42" s="298">
        <f t="shared" si="7"/>
        <v>0</v>
      </c>
      <c r="N42" s="291"/>
      <c r="O42" s="257">
        <v>0</v>
      </c>
      <c r="P42" s="257">
        <v>0</v>
      </c>
      <c r="Q42" s="311">
        <f t="shared" si="8"/>
        <v>0</v>
      </c>
      <c r="R42" s="351"/>
      <c r="S42" s="257">
        <v>0</v>
      </c>
      <c r="T42" s="257">
        <v>0</v>
      </c>
      <c r="U42" s="311">
        <f t="shared" si="9"/>
        <v>0</v>
      </c>
      <c r="V42" s="298">
        <f t="shared" si="11"/>
        <v>0</v>
      </c>
      <c r="W42" s="291"/>
      <c r="X42" s="257">
        <v>0</v>
      </c>
      <c r="Y42" s="257">
        <v>0</v>
      </c>
      <c r="Z42" s="311">
        <f t="shared" si="12"/>
        <v>0</v>
      </c>
      <c r="AA42" s="322"/>
      <c r="AB42" s="257">
        <v>0</v>
      </c>
      <c r="AC42" s="257">
        <v>0</v>
      </c>
      <c r="AD42" s="311">
        <f t="shared" si="13"/>
        <v>0</v>
      </c>
      <c r="AE42" s="298">
        <f t="shared" si="15"/>
        <v>0</v>
      </c>
      <c r="AF42" s="291"/>
      <c r="AG42" s="335">
        <f t="shared" si="14"/>
        <v>0</v>
      </c>
    </row>
    <row r="43" spans="1:33" s="10" customFormat="1" ht="15" customHeight="1">
      <c r="A43" s="239" t="s">
        <v>1102</v>
      </c>
      <c r="B43" s="254" t="s">
        <v>919</v>
      </c>
      <c r="C43" s="254" t="s">
        <v>85</v>
      </c>
      <c r="D43" s="255">
        <f>SUM(D44:D52)</f>
        <v>0</v>
      </c>
      <c r="E43" s="255">
        <f>SUM(E44:E52)</f>
        <v>0</v>
      </c>
      <c r="F43" s="255">
        <f t="shared" si="4"/>
        <v>0</v>
      </c>
      <c r="G43" s="255">
        <f>SUM(G44:G52)</f>
        <v>0</v>
      </c>
      <c r="H43" s="309">
        <f t="shared" si="5"/>
        <v>0</v>
      </c>
      <c r="I43" s="289"/>
      <c r="J43" s="255">
        <f>SUM(J44:J52)</f>
        <v>0</v>
      </c>
      <c r="K43" s="255">
        <f>SUM(K44:K52)</f>
        <v>0</v>
      </c>
      <c r="L43" s="309">
        <f t="shared" si="6"/>
        <v>0</v>
      </c>
      <c r="M43" s="266">
        <f t="shared" si="7"/>
        <v>0</v>
      </c>
      <c r="N43" s="289"/>
      <c r="O43" s="255">
        <f>SUM(O44:O52)</f>
        <v>0</v>
      </c>
      <c r="P43" s="255">
        <f>SUM(P44:P52)</f>
        <v>0</v>
      </c>
      <c r="Q43" s="309">
        <f t="shared" si="8"/>
        <v>0</v>
      </c>
      <c r="R43" s="354"/>
      <c r="S43" s="255">
        <f>SUM(S44:S52)</f>
        <v>0</v>
      </c>
      <c r="T43" s="255">
        <f>SUM(T44:T52)</f>
        <v>0</v>
      </c>
      <c r="U43" s="309">
        <f t="shared" si="9"/>
        <v>0</v>
      </c>
      <c r="V43" s="266">
        <f t="shared" si="11"/>
        <v>0</v>
      </c>
      <c r="W43" s="289"/>
      <c r="X43" s="255">
        <f>SUM(X44:X52)</f>
        <v>0</v>
      </c>
      <c r="Y43" s="255">
        <f>SUM(Y44:Y52)</f>
        <v>0</v>
      </c>
      <c r="Z43" s="309">
        <f t="shared" si="12"/>
        <v>0</v>
      </c>
      <c r="AA43" s="320"/>
      <c r="AB43" s="255">
        <f>SUM(AB44:AB52)</f>
        <v>0</v>
      </c>
      <c r="AC43" s="255">
        <f>SUM(AC44:AC52)</f>
        <v>0</v>
      </c>
      <c r="AD43" s="309">
        <f t="shared" si="13"/>
        <v>0</v>
      </c>
      <c r="AE43" s="266">
        <f t="shared" si="15"/>
        <v>0</v>
      </c>
      <c r="AF43" s="289"/>
      <c r="AG43" s="285">
        <f t="shared" si="14"/>
        <v>0</v>
      </c>
    </row>
    <row r="44" spans="1:33" s="7" customFormat="1" ht="15" customHeight="1" hidden="1">
      <c r="A44" s="239" t="s">
        <v>1103</v>
      </c>
      <c r="B44" s="256" t="s">
        <v>86</v>
      </c>
      <c r="C44" s="256" t="s">
        <v>87</v>
      </c>
      <c r="D44" s="257">
        <v>0</v>
      </c>
      <c r="E44" s="257">
        <v>0</v>
      </c>
      <c r="F44" s="257">
        <f t="shared" si="4"/>
        <v>0</v>
      </c>
      <c r="G44" s="257">
        <v>0</v>
      </c>
      <c r="H44" s="311">
        <f t="shared" si="5"/>
        <v>0</v>
      </c>
      <c r="I44" s="291"/>
      <c r="J44" s="257">
        <v>0</v>
      </c>
      <c r="K44" s="257">
        <v>0</v>
      </c>
      <c r="L44" s="311">
        <f t="shared" si="6"/>
        <v>0</v>
      </c>
      <c r="M44" s="298">
        <f t="shared" si="7"/>
        <v>0</v>
      </c>
      <c r="N44" s="291"/>
      <c r="O44" s="257">
        <v>0</v>
      </c>
      <c r="P44" s="257">
        <v>0</v>
      </c>
      <c r="Q44" s="311">
        <f t="shared" si="8"/>
        <v>0</v>
      </c>
      <c r="R44" s="351"/>
      <c r="S44" s="257">
        <v>0</v>
      </c>
      <c r="T44" s="257">
        <v>0</v>
      </c>
      <c r="U44" s="311">
        <f t="shared" si="9"/>
        <v>0</v>
      </c>
      <c r="V44" s="298">
        <f t="shared" si="11"/>
        <v>0</v>
      </c>
      <c r="W44" s="291"/>
      <c r="X44" s="257">
        <v>0</v>
      </c>
      <c r="Y44" s="257">
        <v>0</v>
      </c>
      <c r="Z44" s="311">
        <f t="shared" si="12"/>
        <v>0</v>
      </c>
      <c r="AA44" s="322"/>
      <c r="AB44" s="257">
        <v>0</v>
      </c>
      <c r="AC44" s="257">
        <v>0</v>
      </c>
      <c r="AD44" s="311">
        <f t="shared" si="13"/>
        <v>0</v>
      </c>
      <c r="AE44" s="298">
        <f t="shared" si="15"/>
        <v>0</v>
      </c>
      <c r="AF44" s="291"/>
      <c r="AG44" s="335">
        <f t="shared" si="14"/>
        <v>0</v>
      </c>
    </row>
    <row r="45" spans="1:33" s="7" customFormat="1" ht="15" customHeight="1" hidden="1">
      <c r="A45" s="239" t="s">
        <v>1104</v>
      </c>
      <c r="B45" s="256" t="s">
        <v>88</v>
      </c>
      <c r="C45" s="256" t="s">
        <v>89</v>
      </c>
      <c r="D45" s="257">
        <v>0</v>
      </c>
      <c r="E45" s="257">
        <v>0</v>
      </c>
      <c r="F45" s="257">
        <f t="shared" si="4"/>
        <v>0</v>
      </c>
      <c r="G45" s="257">
        <v>0</v>
      </c>
      <c r="H45" s="311">
        <f t="shared" si="5"/>
        <v>0</v>
      </c>
      <c r="I45" s="291"/>
      <c r="J45" s="257">
        <v>0</v>
      </c>
      <c r="K45" s="257">
        <v>0</v>
      </c>
      <c r="L45" s="311">
        <f t="shared" si="6"/>
        <v>0</v>
      </c>
      <c r="M45" s="298">
        <f t="shared" si="7"/>
        <v>0</v>
      </c>
      <c r="N45" s="291"/>
      <c r="O45" s="257">
        <v>0</v>
      </c>
      <c r="P45" s="257">
        <v>0</v>
      </c>
      <c r="Q45" s="311">
        <f t="shared" si="8"/>
        <v>0</v>
      </c>
      <c r="R45" s="351"/>
      <c r="S45" s="257">
        <v>0</v>
      </c>
      <c r="T45" s="257">
        <v>0</v>
      </c>
      <c r="U45" s="311">
        <f t="shared" si="9"/>
        <v>0</v>
      </c>
      <c r="V45" s="298">
        <f t="shared" si="11"/>
        <v>0</v>
      </c>
      <c r="W45" s="291"/>
      <c r="X45" s="257">
        <v>0</v>
      </c>
      <c r="Y45" s="257">
        <v>0</v>
      </c>
      <c r="Z45" s="311">
        <f t="shared" si="12"/>
        <v>0</v>
      </c>
      <c r="AA45" s="322"/>
      <c r="AB45" s="257">
        <v>0</v>
      </c>
      <c r="AC45" s="257">
        <v>0</v>
      </c>
      <c r="AD45" s="311">
        <f t="shared" si="13"/>
        <v>0</v>
      </c>
      <c r="AE45" s="298">
        <f t="shared" si="15"/>
        <v>0</v>
      </c>
      <c r="AF45" s="291"/>
      <c r="AG45" s="335">
        <f t="shared" si="14"/>
        <v>0</v>
      </c>
    </row>
    <row r="46" spans="1:33" s="7" customFormat="1" ht="15" customHeight="1" hidden="1">
      <c r="A46" s="239" t="s">
        <v>1105</v>
      </c>
      <c r="B46" s="256" t="s">
        <v>90</v>
      </c>
      <c r="C46" s="256" t="s">
        <v>91</v>
      </c>
      <c r="D46" s="257">
        <v>0</v>
      </c>
      <c r="E46" s="257">
        <v>0</v>
      </c>
      <c r="F46" s="257">
        <f t="shared" si="4"/>
        <v>0</v>
      </c>
      <c r="G46" s="257">
        <v>0</v>
      </c>
      <c r="H46" s="311">
        <f t="shared" si="5"/>
        <v>0</v>
      </c>
      <c r="I46" s="291"/>
      <c r="J46" s="257">
        <v>0</v>
      </c>
      <c r="K46" s="257">
        <v>0</v>
      </c>
      <c r="L46" s="311">
        <f t="shared" si="6"/>
        <v>0</v>
      </c>
      <c r="M46" s="298">
        <f t="shared" si="7"/>
        <v>0</v>
      </c>
      <c r="N46" s="291"/>
      <c r="O46" s="257">
        <v>0</v>
      </c>
      <c r="P46" s="257">
        <v>0</v>
      </c>
      <c r="Q46" s="311">
        <f t="shared" si="8"/>
        <v>0</v>
      </c>
      <c r="R46" s="351"/>
      <c r="S46" s="257">
        <v>0</v>
      </c>
      <c r="T46" s="257">
        <v>0</v>
      </c>
      <c r="U46" s="311">
        <f t="shared" si="9"/>
        <v>0</v>
      </c>
      <c r="V46" s="298">
        <f t="shared" si="11"/>
        <v>0</v>
      </c>
      <c r="W46" s="291"/>
      <c r="X46" s="257">
        <v>0</v>
      </c>
      <c r="Y46" s="257">
        <v>0</v>
      </c>
      <c r="Z46" s="311">
        <f t="shared" si="12"/>
        <v>0</v>
      </c>
      <c r="AA46" s="322"/>
      <c r="AB46" s="257">
        <v>0</v>
      </c>
      <c r="AC46" s="257">
        <v>0</v>
      </c>
      <c r="AD46" s="311">
        <f t="shared" si="13"/>
        <v>0</v>
      </c>
      <c r="AE46" s="298">
        <f t="shared" si="15"/>
        <v>0</v>
      </c>
      <c r="AF46" s="291"/>
      <c r="AG46" s="335">
        <f t="shared" si="14"/>
        <v>0</v>
      </c>
    </row>
    <row r="47" spans="1:33" s="7" customFormat="1" ht="15" customHeight="1" hidden="1">
      <c r="A47" s="239" t="s">
        <v>1106</v>
      </c>
      <c r="B47" s="256" t="s">
        <v>92</v>
      </c>
      <c r="C47" s="256" t="s">
        <v>93</v>
      </c>
      <c r="D47" s="257">
        <v>0</v>
      </c>
      <c r="E47" s="257">
        <v>0</v>
      </c>
      <c r="F47" s="257">
        <f t="shared" si="4"/>
        <v>0</v>
      </c>
      <c r="G47" s="257">
        <v>0</v>
      </c>
      <c r="H47" s="311">
        <f t="shared" si="5"/>
        <v>0</v>
      </c>
      <c r="I47" s="291"/>
      <c r="J47" s="257">
        <v>0</v>
      </c>
      <c r="K47" s="257">
        <v>0</v>
      </c>
      <c r="L47" s="311">
        <f t="shared" si="6"/>
        <v>0</v>
      </c>
      <c r="M47" s="298">
        <f t="shared" si="7"/>
        <v>0</v>
      </c>
      <c r="N47" s="291"/>
      <c r="O47" s="257">
        <v>0</v>
      </c>
      <c r="P47" s="257">
        <v>0</v>
      </c>
      <c r="Q47" s="311">
        <f t="shared" si="8"/>
        <v>0</v>
      </c>
      <c r="R47" s="351"/>
      <c r="S47" s="257">
        <v>0</v>
      </c>
      <c r="T47" s="257">
        <v>0</v>
      </c>
      <c r="U47" s="311">
        <f t="shared" si="9"/>
        <v>0</v>
      </c>
      <c r="V47" s="298">
        <f t="shared" si="11"/>
        <v>0</v>
      </c>
      <c r="W47" s="291"/>
      <c r="X47" s="257">
        <v>0</v>
      </c>
      <c r="Y47" s="257">
        <v>0</v>
      </c>
      <c r="Z47" s="311">
        <f t="shared" si="12"/>
        <v>0</v>
      </c>
      <c r="AA47" s="322"/>
      <c r="AB47" s="257">
        <v>0</v>
      </c>
      <c r="AC47" s="257">
        <v>0</v>
      </c>
      <c r="AD47" s="311">
        <f t="shared" si="13"/>
        <v>0</v>
      </c>
      <c r="AE47" s="298">
        <f t="shared" si="15"/>
        <v>0</v>
      </c>
      <c r="AF47" s="291"/>
      <c r="AG47" s="335">
        <f t="shared" si="14"/>
        <v>0</v>
      </c>
    </row>
    <row r="48" spans="1:33" s="7" customFormat="1" ht="15" customHeight="1" hidden="1">
      <c r="A48" s="239" t="s">
        <v>1107</v>
      </c>
      <c r="B48" s="256" t="s">
        <v>94</v>
      </c>
      <c r="C48" s="256" t="s">
        <v>95</v>
      </c>
      <c r="D48" s="257">
        <v>0</v>
      </c>
      <c r="E48" s="257">
        <v>0</v>
      </c>
      <c r="F48" s="257">
        <f t="shared" si="4"/>
        <v>0</v>
      </c>
      <c r="G48" s="257">
        <v>0</v>
      </c>
      <c r="H48" s="311">
        <f t="shared" si="5"/>
        <v>0</v>
      </c>
      <c r="I48" s="291"/>
      <c r="J48" s="257">
        <v>0</v>
      </c>
      <c r="K48" s="257">
        <v>0</v>
      </c>
      <c r="L48" s="311">
        <f t="shared" si="6"/>
        <v>0</v>
      </c>
      <c r="M48" s="298">
        <f t="shared" si="7"/>
        <v>0</v>
      </c>
      <c r="N48" s="291"/>
      <c r="O48" s="257">
        <v>0</v>
      </c>
      <c r="P48" s="257">
        <v>0</v>
      </c>
      <c r="Q48" s="311">
        <f t="shared" si="8"/>
        <v>0</v>
      </c>
      <c r="R48" s="351"/>
      <c r="S48" s="257">
        <v>0</v>
      </c>
      <c r="T48" s="257">
        <v>0</v>
      </c>
      <c r="U48" s="311">
        <f t="shared" si="9"/>
        <v>0</v>
      </c>
      <c r="V48" s="298">
        <f t="shared" si="11"/>
        <v>0</v>
      </c>
      <c r="W48" s="291"/>
      <c r="X48" s="257">
        <v>0</v>
      </c>
      <c r="Y48" s="257">
        <v>0</v>
      </c>
      <c r="Z48" s="311">
        <f t="shared" si="12"/>
        <v>0</v>
      </c>
      <c r="AA48" s="322"/>
      <c r="AB48" s="257">
        <v>0</v>
      </c>
      <c r="AC48" s="257">
        <v>0</v>
      </c>
      <c r="AD48" s="311">
        <f t="shared" si="13"/>
        <v>0</v>
      </c>
      <c r="AE48" s="298">
        <f t="shared" si="15"/>
        <v>0</v>
      </c>
      <c r="AF48" s="291"/>
      <c r="AG48" s="335">
        <f t="shared" si="14"/>
        <v>0</v>
      </c>
    </row>
    <row r="49" spans="1:33" s="7" customFormat="1" ht="15" customHeight="1" hidden="1">
      <c r="A49" s="239" t="s">
        <v>1108</v>
      </c>
      <c r="B49" s="256" t="s">
        <v>96</v>
      </c>
      <c r="C49" s="256" t="s">
        <v>97</v>
      </c>
      <c r="D49" s="257">
        <v>0</v>
      </c>
      <c r="E49" s="257">
        <v>0</v>
      </c>
      <c r="F49" s="257">
        <f t="shared" si="4"/>
        <v>0</v>
      </c>
      <c r="G49" s="257">
        <v>0</v>
      </c>
      <c r="H49" s="311">
        <f t="shared" si="5"/>
        <v>0</v>
      </c>
      <c r="I49" s="291"/>
      <c r="J49" s="257">
        <v>0</v>
      </c>
      <c r="K49" s="257">
        <v>0</v>
      </c>
      <c r="L49" s="311">
        <f t="shared" si="6"/>
        <v>0</v>
      </c>
      <c r="M49" s="298">
        <f t="shared" si="7"/>
        <v>0</v>
      </c>
      <c r="N49" s="291"/>
      <c r="O49" s="257">
        <v>0</v>
      </c>
      <c r="P49" s="257">
        <v>0</v>
      </c>
      <c r="Q49" s="311">
        <f t="shared" si="8"/>
        <v>0</v>
      </c>
      <c r="R49" s="351"/>
      <c r="S49" s="257">
        <v>0</v>
      </c>
      <c r="T49" s="257">
        <v>0</v>
      </c>
      <c r="U49" s="311">
        <f t="shared" si="9"/>
        <v>0</v>
      </c>
      <c r="V49" s="298">
        <f t="shared" si="11"/>
        <v>0</v>
      </c>
      <c r="W49" s="291"/>
      <c r="X49" s="257">
        <v>0</v>
      </c>
      <c r="Y49" s="257">
        <v>0</v>
      </c>
      <c r="Z49" s="311">
        <f t="shared" si="12"/>
        <v>0</v>
      </c>
      <c r="AA49" s="322"/>
      <c r="AB49" s="257">
        <v>0</v>
      </c>
      <c r="AC49" s="257">
        <v>0</v>
      </c>
      <c r="AD49" s="311">
        <f t="shared" si="13"/>
        <v>0</v>
      </c>
      <c r="AE49" s="298">
        <f t="shared" si="15"/>
        <v>0</v>
      </c>
      <c r="AF49" s="291"/>
      <c r="AG49" s="335">
        <f t="shared" si="14"/>
        <v>0</v>
      </c>
    </row>
    <row r="50" spans="1:33" s="7" customFormat="1" ht="15" customHeight="1" hidden="1">
      <c r="A50" s="239" t="s">
        <v>1109</v>
      </c>
      <c r="B50" s="256" t="s">
        <v>98</v>
      </c>
      <c r="C50" s="256" t="s">
        <v>99</v>
      </c>
      <c r="D50" s="257">
        <v>0</v>
      </c>
      <c r="E50" s="257">
        <v>0</v>
      </c>
      <c r="F50" s="257">
        <f t="shared" si="4"/>
        <v>0</v>
      </c>
      <c r="G50" s="257">
        <v>0</v>
      </c>
      <c r="H50" s="311">
        <f t="shared" si="5"/>
        <v>0</v>
      </c>
      <c r="I50" s="291"/>
      <c r="J50" s="257">
        <v>0</v>
      </c>
      <c r="K50" s="257">
        <v>0</v>
      </c>
      <c r="L50" s="311">
        <f t="shared" si="6"/>
        <v>0</v>
      </c>
      <c r="M50" s="298">
        <f t="shared" si="7"/>
        <v>0</v>
      </c>
      <c r="N50" s="291"/>
      <c r="O50" s="257">
        <v>0</v>
      </c>
      <c r="P50" s="257">
        <v>0</v>
      </c>
      <c r="Q50" s="311">
        <f t="shared" si="8"/>
        <v>0</v>
      </c>
      <c r="R50" s="351"/>
      <c r="S50" s="257">
        <v>0</v>
      </c>
      <c r="T50" s="257">
        <v>0</v>
      </c>
      <c r="U50" s="311">
        <f t="shared" si="9"/>
        <v>0</v>
      </c>
      <c r="V50" s="298">
        <f t="shared" si="11"/>
        <v>0</v>
      </c>
      <c r="W50" s="291"/>
      <c r="X50" s="257">
        <v>0</v>
      </c>
      <c r="Y50" s="257">
        <v>0</v>
      </c>
      <c r="Z50" s="311">
        <f t="shared" si="12"/>
        <v>0</v>
      </c>
      <c r="AA50" s="322"/>
      <c r="AB50" s="257">
        <v>0</v>
      </c>
      <c r="AC50" s="257">
        <v>0</v>
      </c>
      <c r="AD50" s="311">
        <f t="shared" si="13"/>
        <v>0</v>
      </c>
      <c r="AE50" s="298">
        <f t="shared" si="15"/>
        <v>0</v>
      </c>
      <c r="AF50" s="291"/>
      <c r="AG50" s="335">
        <f t="shared" si="14"/>
        <v>0</v>
      </c>
    </row>
    <row r="51" spans="1:33" s="7" customFormat="1" ht="15" customHeight="1" hidden="1">
      <c r="A51" s="239" t="s">
        <v>1110</v>
      </c>
      <c r="B51" s="256" t="s">
        <v>100</v>
      </c>
      <c r="C51" s="256" t="s">
        <v>101</v>
      </c>
      <c r="D51" s="257">
        <v>0</v>
      </c>
      <c r="E51" s="257">
        <v>0</v>
      </c>
      <c r="F51" s="257">
        <f t="shared" si="4"/>
        <v>0</v>
      </c>
      <c r="G51" s="257">
        <v>0</v>
      </c>
      <c r="H51" s="311">
        <f t="shared" si="5"/>
        <v>0</v>
      </c>
      <c r="I51" s="291"/>
      <c r="J51" s="257">
        <v>0</v>
      </c>
      <c r="K51" s="257">
        <v>0</v>
      </c>
      <c r="L51" s="311">
        <f t="shared" si="6"/>
        <v>0</v>
      </c>
      <c r="M51" s="298">
        <f t="shared" si="7"/>
        <v>0</v>
      </c>
      <c r="N51" s="291"/>
      <c r="O51" s="257">
        <v>0</v>
      </c>
      <c r="P51" s="257">
        <v>0</v>
      </c>
      <c r="Q51" s="311">
        <f t="shared" si="8"/>
        <v>0</v>
      </c>
      <c r="R51" s="351"/>
      <c r="S51" s="257">
        <v>0</v>
      </c>
      <c r="T51" s="257">
        <v>0</v>
      </c>
      <c r="U51" s="311">
        <f t="shared" si="9"/>
        <v>0</v>
      </c>
      <c r="V51" s="298">
        <f t="shared" si="11"/>
        <v>0</v>
      </c>
      <c r="W51" s="291"/>
      <c r="X51" s="257">
        <v>0</v>
      </c>
      <c r="Y51" s="257">
        <v>0</v>
      </c>
      <c r="Z51" s="311">
        <f t="shared" si="12"/>
        <v>0</v>
      </c>
      <c r="AA51" s="322"/>
      <c r="AB51" s="257">
        <v>0</v>
      </c>
      <c r="AC51" s="257">
        <v>0</v>
      </c>
      <c r="AD51" s="311">
        <f t="shared" si="13"/>
        <v>0</v>
      </c>
      <c r="AE51" s="298">
        <f t="shared" si="15"/>
        <v>0</v>
      </c>
      <c r="AF51" s="291"/>
      <c r="AG51" s="335">
        <f t="shared" si="14"/>
        <v>0</v>
      </c>
    </row>
    <row r="52" spans="1:33" s="7" customFormat="1" ht="15" customHeight="1" hidden="1">
      <c r="A52" s="239" t="s">
        <v>1111</v>
      </c>
      <c r="B52" s="256" t="s">
        <v>102</v>
      </c>
      <c r="C52" s="256" t="s">
        <v>103</v>
      </c>
      <c r="D52" s="257">
        <v>0</v>
      </c>
      <c r="E52" s="257">
        <v>0</v>
      </c>
      <c r="F52" s="257">
        <f t="shared" si="4"/>
        <v>0</v>
      </c>
      <c r="G52" s="257">
        <v>0</v>
      </c>
      <c r="H52" s="311">
        <f t="shared" si="5"/>
        <v>0</v>
      </c>
      <c r="I52" s="291"/>
      <c r="J52" s="257">
        <v>0</v>
      </c>
      <c r="K52" s="257">
        <v>0</v>
      </c>
      <c r="L52" s="311">
        <f t="shared" si="6"/>
        <v>0</v>
      </c>
      <c r="M52" s="298">
        <f t="shared" si="7"/>
        <v>0</v>
      </c>
      <c r="N52" s="291"/>
      <c r="O52" s="257">
        <v>0</v>
      </c>
      <c r="P52" s="257">
        <v>0</v>
      </c>
      <c r="Q52" s="311">
        <f t="shared" si="8"/>
        <v>0</v>
      </c>
      <c r="R52" s="351"/>
      <c r="S52" s="257">
        <v>0</v>
      </c>
      <c r="T52" s="257">
        <v>0</v>
      </c>
      <c r="U52" s="311">
        <f t="shared" si="9"/>
        <v>0</v>
      </c>
      <c r="V52" s="298">
        <f t="shared" si="11"/>
        <v>0</v>
      </c>
      <c r="W52" s="291"/>
      <c r="X52" s="257">
        <v>0</v>
      </c>
      <c r="Y52" s="257">
        <v>0</v>
      </c>
      <c r="Z52" s="311">
        <f t="shared" si="12"/>
        <v>0</v>
      </c>
      <c r="AA52" s="322"/>
      <c r="AB52" s="257">
        <v>0</v>
      </c>
      <c r="AC52" s="257">
        <v>0</v>
      </c>
      <c r="AD52" s="311">
        <f t="shared" si="13"/>
        <v>0</v>
      </c>
      <c r="AE52" s="298">
        <f t="shared" si="15"/>
        <v>0</v>
      </c>
      <c r="AF52" s="291"/>
      <c r="AG52" s="335">
        <f t="shared" si="14"/>
        <v>0</v>
      </c>
    </row>
    <row r="53" spans="1:33" s="10" customFormat="1" ht="15" customHeight="1">
      <c r="A53" s="239" t="s">
        <v>1112</v>
      </c>
      <c r="B53" s="247" t="s">
        <v>920</v>
      </c>
      <c r="C53" s="247" t="s">
        <v>104</v>
      </c>
      <c r="D53" s="253">
        <f>SUM(D54:D56)</f>
        <v>0</v>
      </c>
      <c r="E53" s="253">
        <f>SUM(E54:E56)</f>
        <v>0</v>
      </c>
      <c r="F53" s="253">
        <f t="shared" si="4"/>
        <v>0</v>
      </c>
      <c r="G53" s="253">
        <f>SUM(G54:G56)</f>
        <v>0</v>
      </c>
      <c r="H53" s="309">
        <f t="shared" si="5"/>
        <v>0</v>
      </c>
      <c r="I53" s="289"/>
      <c r="J53" s="253">
        <f>SUM(J54:J56)</f>
        <v>0</v>
      </c>
      <c r="K53" s="253">
        <f>SUM(K54:K56)</f>
        <v>0</v>
      </c>
      <c r="L53" s="309">
        <f t="shared" si="6"/>
        <v>0</v>
      </c>
      <c r="M53" s="266">
        <f t="shared" si="7"/>
        <v>0</v>
      </c>
      <c r="N53" s="289"/>
      <c r="O53" s="253">
        <f>SUM(O54:O56)</f>
        <v>0</v>
      </c>
      <c r="P53" s="253">
        <f>SUM(P54:P56)</f>
        <v>0</v>
      </c>
      <c r="Q53" s="309">
        <f t="shared" si="8"/>
        <v>0</v>
      </c>
      <c r="R53" s="354"/>
      <c r="S53" s="253">
        <f>SUM(S54:S56)</f>
        <v>0</v>
      </c>
      <c r="T53" s="253">
        <f>SUM(T54:T56)</f>
        <v>0</v>
      </c>
      <c r="U53" s="309">
        <f t="shared" si="9"/>
        <v>0</v>
      </c>
      <c r="V53" s="266">
        <f t="shared" si="11"/>
        <v>0</v>
      </c>
      <c r="W53" s="289"/>
      <c r="X53" s="253">
        <f>SUM(X54:X56)</f>
        <v>0</v>
      </c>
      <c r="Y53" s="253">
        <f>SUM(Y54:Y56)</f>
        <v>0</v>
      </c>
      <c r="Z53" s="309">
        <f t="shared" si="12"/>
        <v>0</v>
      </c>
      <c r="AA53" s="320"/>
      <c r="AB53" s="253">
        <f>SUM(AB54:AB56)</f>
        <v>0</v>
      </c>
      <c r="AC53" s="253">
        <f>SUM(AC54:AC56)</f>
        <v>0</v>
      </c>
      <c r="AD53" s="309">
        <f t="shared" si="13"/>
        <v>0</v>
      </c>
      <c r="AE53" s="266">
        <f t="shared" si="15"/>
        <v>0</v>
      </c>
      <c r="AF53" s="289"/>
      <c r="AG53" s="285">
        <f t="shared" si="14"/>
        <v>0</v>
      </c>
    </row>
    <row r="54" spans="1:33" s="7" customFormat="1" ht="15" customHeight="1" hidden="1">
      <c r="A54" s="239" t="s">
        <v>1113</v>
      </c>
      <c r="B54" s="259" t="s">
        <v>105</v>
      </c>
      <c r="C54" s="259" t="s">
        <v>106</v>
      </c>
      <c r="D54" s="260">
        <v>0</v>
      </c>
      <c r="E54" s="260">
        <v>0</v>
      </c>
      <c r="F54" s="260">
        <f t="shared" si="4"/>
        <v>0</v>
      </c>
      <c r="G54" s="260">
        <v>0</v>
      </c>
      <c r="H54" s="311">
        <f t="shared" si="5"/>
        <v>0</v>
      </c>
      <c r="I54" s="291"/>
      <c r="J54" s="260">
        <v>0</v>
      </c>
      <c r="K54" s="260">
        <v>0</v>
      </c>
      <c r="L54" s="311">
        <f t="shared" si="6"/>
        <v>0</v>
      </c>
      <c r="M54" s="298">
        <f t="shared" si="7"/>
        <v>0</v>
      </c>
      <c r="N54" s="291"/>
      <c r="O54" s="260">
        <v>0</v>
      </c>
      <c r="P54" s="260">
        <v>0</v>
      </c>
      <c r="Q54" s="311">
        <f t="shared" si="8"/>
        <v>0</v>
      </c>
      <c r="R54" s="351"/>
      <c r="S54" s="260">
        <v>0</v>
      </c>
      <c r="T54" s="260">
        <v>0</v>
      </c>
      <c r="U54" s="311">
        <f t="shared" si="9"/>
        <v>0</v>
      </c>
      <c r="V54" s="298">
        <f t="shared" si="11"/>
        <v>0</v>
      </c>
      <c r="W54" s="291"/>
      <c r="X54" s="260">
        <v>0</v>
      </c>
      <c r="Y54" s="260">
        <v>0</v>
      </c>
      <c r="Z54" s="311">
        <f t="shared" si="12"/>
        <v>0</v>
      </c>
      <c r="AA54" s="322"/>
      <c r="AB54" s="260">
        <v>0</v>
      </c>
      <c r="AC54" s="260">
        <v>0</v>
      </c>
      <c r="AD54" s="311">
        <f t="shared" si="13"/>
        <v>0</v>
      </c>
      <c r="AE54" s="298">
        <f t="shared" si="15"/>
        <v>0</v>
      </c>
      <c r="AF54" s="291"/>
      <c r="AG54" s="335">
        <f t="shared" si="14"/>
        <v>0</v>
      </c>
    </row>
    <row r="55" spans="1:33" s="7" customFormat="1" ht="15" customHeight="1" hidden="1">
      <c r="A55" s="239" t="s">
        <v>1114</v>
      </c>
      <c r="B55" s="259" t="s">
        <v>107</v>
      </c>
      <c r="C55" s="259" t="s">
        <v>106</v>
      </c>
      <c r="D55" s="260">
        <v>0</v>
      </c>
      <c r="E55" s="260">
        <v>0</v>
      </c>
      <c r="F55" s="260">
        <f t="shared" si="4"/>
        <v>0</v>
      </c>
      <c r="G55" s="260">
        <v>0</v>
      </c>
      <c r="H55" s="311">
        <f t="shared" si="5"/>
        <v>0</v>
      </c>
      <c r="I55" s="291"/>
      <c r="J55" s="260">
        <v>0</v>
      </c>
      <c r="K55" s="260">
        <v>0</v>
      </c>
      <c r="L55" s="311">
        <f t="shared" si="6"/>
        <v>0</v>
      </c>
      <c r="M55" s="298">
        <f t="shared" si="7"/>
        <v>0</v>
      </c>
      <c r="N55" s="291"/>
      <c r="O55" s="260">
        <v>0</v>
      </c>
      <c r="P55" s="260">
        <v>0</v>
      </c>
      <c r="Q55" s="311">
        <f t="shared" si="8"/>
        <v>0</v>
      </c>
      <c r="R55" s="351"/>
      <c r="S55" s="260">
        <v>0</v>
      </c>
      <c r="T55" s="260">
        <v>0</v>
      </c>
      <c r="U55" s="311">
        <f t="shared" si="9"/>
        <v>0</v>
      </c>
      <c r="V55" s="298">
        <f t="shared" si="11"/>
        <v>0</v>
      </c>
      <c r="W55" s="291"/>
      <c r="X55" s="260">
        <v>0</v>
      </c>
      <c r="Y55" s="260">
        <v>0</v>
      </c>
      <c r="Z55" s="311">
        <f t="shared" si="12"/>
        <v>0</v>
      </c>
      <c r="AA55" s="322"/>
      <c r="AB55" s="260">
        <v>0</v>
      </c>
      <c r="AC55" s="260">
        <v>0</v>
      </c>
      <c r="AD55" s="311">
        <f t="shared" si="13"/>
        <v>0</v>
      </c>
      <c r="AE55" s="298">
        <f t="shared" si="15"/>
        <v>0</v>
      </c>
      <c r="AF55" s="291"/>
      <c r="AG55" s="335">
        <f t="shared" si="14"/>
        <v>0</v>
      </c>
    </row>
    <row r="56" spans="1:33" s="7" customFormat="1" ht="15" customHeight="1" hidden="1">
      <c r="A56" s="239" t="s">
        <v>1115</v>
      </c>
      <c r="B56" s="259" t="s">
        <v>108</v>
      </c>
      <c r="C56" s="259" t="s">
        <v>106</v>
      </c>
      <c r="D56" s="260">
        <v>0</v>
      </c>
      <c r="E56" s="260">
        <v>0</v>
      </c>
      <c r="F56" s="260">
        <f t="shared" si="4"/>
        <v>0</v>
      </c>
      <c r="G56" s="260">
        <v>0</v>
      </c>
      <c r="H56" s="311">
        <f t="shared" si="5"/>
        <v>0</v>
      </c>
      <c r="I56" s="291"/>
      <c r="J56" s="260">
        <v>0</v>
      </c>
      <c r="K56" s="260">
        <v>0</v>
      </c>
      <c r="L56" s="311">
        <f t="shared" si="6"/>
        <v>0</v>
      </c>
      <c r="M56" s="298">
        <f t="shared" si="7"/>
        <v>0</v>
      </c>
      <c r="N56" s="291"/>
      <c r="O56" s="260">
        <v>0</v>
      </c>
      <c r="P56" s="260">
        <v>0</v>
      </c>
      <c r="Q56" s="311">
        <f t="shared" si="8"/>
        <v>0</v>
      </c>
      <c r="R56" s="351"/>
      <c r="S56" s="260">
        <v>0</v>
      </c>
      <c r="T56" s="260">
        <v>0</v>
      </c>
      <c r="U56" s="311">
        <f t="shared" si="9"/>
        <v>0</v>
      </c>
      <c r="V56" s="298">
        <f t="shared" si="11"/>
        <v>0</v>
      </c>
      <c r="W56" s="291"/>
      <c r="X56" s="260">
        <v>0</v>
      </c>
      <c r="Y56" s="260">
        <v>0</v>
      </c>
      <c r="Z56" s="311">
        <f t="shared" si="12"/>
        <v>0</v>
      </c>
      <c r="AA56" s="322"/>
      <c r="AB56" s="260">
        <v>0</v>
      </c>
      <c r="AC56" s="260">
        <v>0</v>
      </c>
      <c r="AD56" s="311">
        <f t="shared" si="13"/>
        <v>0</v>
      </c>
      <c r="AE56" s="298">
        <f t="shared" si="15"/>
        <v>0</v>
      </c>
      <c r="AF56" s="291"/>
      <c r="AG56" s="335">
        <f t="shared" si="14"/>
        <v>0</v>
      </c>
    </row>
    <row r="57" spans="1:33" ht="15" customHeight="1">
      <c r="A57" s="239" t="s">
        <v>1116</v>
      </c>
      <c r="B57" s="261" t="s">
        <v>109</v>
      </c>
      <c r="C57" s="261" t="s">
        <v>110</v>
      </c>
      <c r="D57" s="262">
        <v>0</v>
      </c>
      <c r="E57" s="262">
        <v>0</v>
      </c>
      <c r="F57" s="262">
        <f t="shared" si="4"/>
        <v>0</v>
      </c>
      <c r="G57" s="262">
        <v>0</v>
      </c>
      <c r="H57" s="312">
        <f t="shared" si="5"/>
        <v>0</v>
      </c>
      <c r="I57" s="292"/>
      <c r="J57" s="262">
        <v>0</v>
      </c>
      <c r="K57" s="262">
        <v>0</v>
      </c>
      <c r="L57" s="312">
        <f t="shared" si="6"/>
        <v>0</v>
      </c>
      <c r="M57" s="299">
        <f t="shared" si="7"/>
        <v>0</v>
      </c>
      <c r="N57" s="292"/>
      <c r="O57" s="262">
        <v>0</v>
      </c>
      <c r="P57" s="262">
        <v>0</v>
      </c>
      <c r="Q57" s="312">
        <f t="shared" si="8"/>
        <v>0</v>
      </c>
      <c r="R57" s="353"/>
      <c r="S57" s="262">
        <v>0</v>
      </c>
      <c r="T57" s="262">
        <v>0</v>
      </c>
      <c r="U57" s="312">
        <f t="shared" si="9"/>
        <v>0</v>
      </c>
      <c r="V57" s="299">
        <f aca="true" t="shared" si="16" ref="V57:V73">Q57+U57</f>
        <v>0</v>
      </c>
      <c r="W57" s="292"/>
      <c r="X57" s="262">
        <v>0</v>
      </c>
      <c r="Y57" s="262">
        <v>0</v>
      </c>
      <c r="Z57" s="312">
        <f t="shared" si="12"/>
        <v>0</v>
      </c>
      <c r="AA57" s="323"/>
      <c r="AB57" s="262">
        <v>0</v>
      </c>
      <c r="AC57" s="262">
        <v>0</v>
      </c>
      <c r="AD57" s="312">
        <f t="shared" si="13"/>
        <v>0</v>
      </c>
      <c r="AE57" s="299">
        <f t="shared" si="15"/>
        <v>0</v>
      </c>
      <c r="AF57" s="292"/>
      <c r="AG57" s="336">
        <f aca="true" t="shared" si="17" ref="AG57:AG74">M57+V57+AE57</f>
        <v>0</v>
      </c>
    </row>
    <row r="58" spans="1:33" s="10" customFormat="1" ht="15" customHeight="1">
      <c r="A58" s="239" t="s">
        <v>1117</v>
      </c>
      <c r="B58" s="247" t="s">
        <v>921</v>
      </c>
      <c r="C58" s="247" t="s">
        <v>111</v>
      </c>
      <c r="D58" s="255">
        <f>SUM(D59:D60)</f>
        <v>0</v>
      </c>
      <c r="E58" s="255">
        <f>SUM(E59:E60)</f>
        <v>0</v>
      </c>
      <c r="F58" s="255">
        <f t="shared" si="4"/>
        <v>0</v>
      </c>
      <c r="G58" s="255">
        <f>SUM(G59:G60)</f>
        <v>0</v>
      </c>
      <c r="H58" s="309">
        <f t="shared" si="5"/>
        <v>0</v>
      </c>
      <c r="I58" s="289"/>
      <c r="J58" s="255">
        <f>SUM(J59:J60)</f>
        <v>0</v>
      </c>
      <c r="K58" s="255">
        <f>SUM(K59:K60)</f>
        <v>0</v>
      </c>
      <c r="L58" s="309">
        <f t="shared" si="6"/>
        <v>0</v>
      </c>
      <c r="M58" s="266">
        <f t="shared" si="7"/>
        <v>0</v>
      </c>
      <c r="N58" s="289"/>
      <c r="O58" s="255">
        <f>SUM(O59:O60)</f>
        <v>0</v>
      </c>
      <c r="P58" s="255">
        <f>SUM(P59:P60)</f>
        <v>0</v>
      </c>
      <c r="Q58" s="309">
        <f t="shared" si="8"/>
        <v>0</v>
      </c>
      <c r="R58" s="354"/>
      <c r="S58" s="255">
        <f>SUM(S59:S60)</f>
        <v>0</v>
      </c>
      <c r="T58" s="255">
        <f>SUM(T59:T60)</f>
        <v>0</v>
      </c>
      <c r="U58" s="309">
        <f t="shared" si="9"/>
        <v>0</v>
      </c>
      <c r="V58" s="266">
        <f t="shared" si="16"/>
        <v>0</v>
      </c>
      <c r="W58" s="289"/>
      <c r="X58" s="255">
        <f>SUM(X59:X60)</f>
        <v>0</v>
      </c>
      <c r="Y58" s="255">
        <f>SUM(Y59:Y60)</f>
        <v>0</v>
      </c>
      <c r="Z58" s="309">
        <f t="shared" si="12"/>
        <v>0</v>
      </c>
      <c r="AA58" s="320"/>
      <c r="AB58" s="255">
        <f>SUM(AB59:AB60)</f>
        <v>0</v>
      </c>
      <c r="AC58" s="255">
        <f>SUM(AC59:AC60)</f>
        <v>0</v>
      </c>
      <c r="AD58" s="309">
        <f t="shared" si="13"/>
        <v>0</v>
      </c>
      <c r="AE58" s="266">
        <f t="shared" si="15"/>
        <v>0</v>
      </c>
      <c r="AF58" s="289"/>
      <c r="AG58" s="285">
        <f t="shared" si="17"/>
        <v>0</v>
      </c>
    </row>
    <row r="59" spans="1:33" s="7" customFormat="1" ht="15" customHeight="1" hidden="1">
      <c r="A59" s="239" t="s">
        <v>1118</v>
      </c>
      <c r="B59" s="259" t="s">
        <v>112</v>
      </c>
      <c r="C59" s="259" t="s">
        <v>113</v>
      </c>
      <c r="D59" s="260">
        <v>0</v>
      </c>
      <c r="E59" s="260">
        <v>0</v>
      </c>
      <c r="F59" s="260">
        <f t="shared" si="4"/>
        <v>0</v>
      </c>
      <c r="G59" s="260">
        <v>0</v>
      </c>
      <c r="H59" s="311">
        <f t="shared" si="5"/>
        <v>0</v>
      </c>
      <c r="I59" s="291"/>
      <c r="J59" s="260">
        <v>0</v>
      </c>
      <c r="K59" s="260">
        <v>0</v>
      </c>
      <c r="L59" s="311">
        <f t="shared" si="6"/>
        <v>0</v>
      </c>
      <c r="M59" s="298">
        <f t="shared" si="7"/>
        <v>0</v>
      </c>
      <c r="N59" s="291"/>
      <c r="O59" s="260">
        <v>0</v>
      </c>
      <c r="P59" s="260">
        <v>0</v>
      </c>
      <c r="Q59" s="311">
        <f t="shared" si="8"/>
        <v>0</v>
      </c>
      <c r="R59" s="351"/>
      <c r="S59" s="260">
        <v>0</v>
      </c>
      <c r="T59" s="260">
        <v>0</v>
      </c>
      <c r="U59" s="311">
        <f t="shared" si="9"/>
        <v>0</v>
      </c>
      <c r="V59" s="298">
        <f t="shared" si="16"/>
        <v>0</v>
      </c>
      <c r="W59" s="291"/>
      <c r="X59" s="260">
        <v>0</v>
      </c>
      <c r="Y59" s="260">
        <v>0</v>
      </c>
      <c r="Z59" s="311">
        <f t="shared" si="12"/>
        <v>0</v>
      </c>
      <c r="AA59" s="322"/>
      <c r="AB59" s="260">
        <v>0</v>
      </c>
      <c r="AC59" s="260">
        <v>0</v>
      </c>
      <c r="AD59" s="311">
        <f t="shared" si="13"/>
        <v>0</v>
      </c>
      <c r="AE59" s="298">
        <f t="shared" si="15"/>
        <v>0</v>
      </c>
      <c r="AF59" s="291"/>
      <c r="AG59" s="335">
        <f t="shared" si="17"/>
        <v>0</v>
      </c>
    </row>
    <row r="60" spans="1:33" s="7" customFormat="1" ht="15" customHeight="1" hidden="1">
      <c r="A60" s="239" t="s">
        <v>1119</v>
      </c>
      <c r="B60" s="256" t="s">
        <v>114</v>
      </c>
      <c r="C60" s="256" t="s">
        <v>1076</v>
      </c>
      <c r="D60" s="257">
        <v>0</v>
      </c>
      <c r="E60" s="257">
        <v>0</v>
      </c>
      <c r="F60" s="257">
        <f t="shared" si="4"/>
        <v>0</v>
      </c>
      <c r="G60" s="257">
        <v>0</v>
      </c>
      <c r="H60" s="311">
        <f t="shared" si="5"/>
        <v>0</v>
      </c>
      <c r="I60" s="291"/>
      <c r="J60" s="257">
        <v>0</v>
      </c>
      <c r="K60" s="257">
        <v>0</v>
      </c>
      <c r="L60" s="311">
        <f t="shared" si="6"/>
        <v>0</v>
      </c>
      <c r="M60" s="298">
        <f t="shared" si="7"/>
        <v>0</v>
      </c>
      <c r="N60" s="291"/>
      <c r="O60" s="257">
        <v>0</v>
      </c>
      <c r="P60" s="257">
        <v>0</v>
      </c>
      <c r="Q60" s="311">
        <f t="shared" si="8"/>
        <v>0</v>
      </c>
      <c r="R60" s="351"/>
      <c r="S60" s="257">
        <v>0</v>
      </c>
      <c r="T60" s="257">
        <v>0</v>
      </c>
      <c r="U60" s="311">
        <f t="shared" si="9"/>
        <v>0</v>
      </c>
      <c r="V60" s="298">
        <f t="shared" si="16"/>
        <v>0</v>
      </c>
      <c r="W60" s="291"/>
      <c r="X60" s="257">
        <v>0</v>
      </c>
      <c r="Y60" s="257">
        <v>0</v>
      </c>
      <c r="Z60" s="311">
        <f t="shared" si="12"/>
        <v>0</v>
      </c>
      <c r="AA60" s="322"/>
      <c r="AB60" s="257">
        <v>0</v>
      </c>
      <c r="AC60" s="257">
        <v>0</v>
      </c>
      <c r="AD60" s="311">
        <f t="shared" si="13"/>
        <v>0</v>
      </c>
      <c r="AE60" s="298">
        <f t="shared" si="15"/>
        <v>0</v>
      </c>
      <c r="AF60" s="291"/>
      <c r="AG60" s="335">
        <f t="shared" si="17"/>
        <v>0</v>
      </c>
    </row>
    <row r="61" spans="1:33" s="10" customFormat="1" ht="15" customHeight="1">
      <c r="A61" s="661" t="s">
        <v>1120</v>
      </c>
      <c r="B61" s="247" t="s">
        <v>115</v>
      </c>
      <c r="C61" s="247" t="s">
        <v>116</v>
      </c>
      <c r="D61" s="253">
        <v>0</v>
      </c>
      <c r="E61" s="253">
        <v>0</v>
      </c>
      <c r="F61" s="253">
        <f t="shared" si="4"/>
        <v>0</v>
      </c>
      <c r="G61" s="253">
        <v>0</v>
      </c>
      <c r="H61" s="309">
        <f t="shared" si="5"/>
        <v>0</v>
      </c>
      <c r="I61" s="289"/>
      <c r="J61" s="253">
        <v>0</v>
      </c>
      <c r="K61" s="253">
        <v>0</v>
      </c>
      <c r="L61" s="309">
        <f t="shared" si="6"/>
        <v>0</v>
      </c>
      <c r="M61" s="266">
        <f t="shared" si="7"/>
        <v>0</v>
      </c>
      <c r="N61" s="289"/>
      <c r="O61" s="253">
        <v>0</v>
      </c>
      <c r="P61" s="253">
        <v>0</v>
      </c>
      <c r="Q61" s="309">
        <f t="shared" si="8"/>
        <v>0</v>
      </c>
      <c r="R61" s="354"/>
      <c r="S61" s="253">
        <v>0</v>
      </c>
      <c r="T61" s="253">
        <v>0</v>
      </c>
      <c r="U61" s="309">
        <f t="shared" si="9"/>
        <v>0</v>
      </c>
      <c r="V61" s="266">
        <f t="shared" si="16"/>
        <v>0</v>
      </c>
      <c r="W61" s="289"/>
      <c r="X61" s="253">
        <v>0</v>
      </c>
      <c r="Y61" s="253">
        <v>0</v>
      </c>
      <c r="Z61" s="309">
        <f t="shared" si="12"/>
        <v>0</v>
      </c>
      <c r="AA61" s="320"/>
      <c r="AB61" s="253">
        <v>0</v>
      </c>
      <c r="AC61" s="253">
        <v>0</v>
      </c>
      <c r="AD61" s="309">
        <f t="shared" si="13"/>
        <v>0</v>
      </c>
      <c r="AE61" s="266">
        <f t="shared" si="15"/>
        <v>0</v>
      </c>
      <c r="AF61" s="289"/>
      <c r="AG61" s="285">
        <f t="shared" si="17"/>
        <v>0</v>
      </c>
    </row>
    <row r="62" spans="1:33" ht="15" customHeight="1">
      <c r="A62" s="239" t="s">
        <v>1121</v>
      </c>
      <c r="B62" s="261" t="s">
        <v>117</v>
      </c>
      <c r="C62" s="261" t="s">
        <v>118</v>
      </c>
      <c r="D62" s="262">
        <v>0</v>
      </c>
      <c r="E62" s="262">
        <v>0</v>
      </c>
      <c r="F62" s="262">
        <f t="shared" si="4"/>
        <v>0</v>
      </c>
      <c r="G62" s="262">
        <v>0</v>
      </c>
      <c r="H62" s="312">
        <f t="shared" si="5"/>
        <v>0</v>
      </c>
      <c r="I62" s="292"/>
      <c r="J62" s="262">
        <v>0</v>
      </c>
      <c r="K62" s="262">
        <v>0</v>
      </c>
      <c r="L62" s="312">
        <f t="shared" si="6"/>
        <v>0</v>
      </c>
      <c r="M62" s="299">
        <f t="shared" si="7"/>
        <v>0</v>
      </c>
      <c r="N62" s="292"/>
      <c r="O62" s="262">
        <v>0</v>
      </c>
      <c r="P62" s="262">
        <v>0</v>
      </c>
      <c r="Q62" s="312">
        <f t="shared" si="8"/>
        <v>0</v>
      </c>
      <c r="R62" s="353"/>
      <c r="S62" s="262">
        <v>0</v>
      </c>
      <c r="T62" s="262">
        <v>0</v>
      </c>
      <c r="U62" s="312">
        <f t="shared" si="9"/>
        <v>0</v>
      </c>
      <c r="V62" s="299">
        <f t="shared" si="16"/>
        <v>0</v>
      </c>
      <c r="W62" s="292"/>
      <c r="X62" s="262">
        <v>0</v>
      </c>
      <c r="Y62" s="262">
        <v>0</v>
      </c>
      <c r="Z62" s="312">
        <f t="shared" si="12"/>
        <v>0</v>
      </c>
      <c r="AA62" s="323"/>
      <c r="AB62" s="262">
        <v>0</v>
      </c>
      <c r="AC62" s="262">
        <v>0</v>
      </c>
      <c r="AD62" s="312">
        <f t="shared" si="13"/>
        <v>0</v>
      </c>
      <c r="AE62" s="299">
        <f t="shared" si="15"/>
        <v>0</v>
      </c>
      <c r="AF62" s="292"/>
      <c r="AG62" s="336">
        <f t="shared" si="17"/>
        <v>0</v>
      </c>
    </row>
    <row r="63" spans="1:33" ht="15" customHeight="1">
      <c r="A63" s="239" t="s">
        <v>1122</v>
      </c>
      <c r="B63" s="263" t="s">
        <v>119</v>
      </c>
      <c r="C63" s="263" t="s">
        <v>120</v>
      </c>
      <c r="D63" s="264">
        <v>0</v>
      </c>
      <c r="E63" s="264">
        <v>0</v>
      </c>
      <c r="F63" s="264">
        <f t="shared" si="4"/>
        <v>0</v>
      </c>
      <c r="G63" s="264">
        <v>0</v>
      </c>
      <c r="H63" s="312">
        <f t="shared" si="5"/>
        <v>0</v>
      </c>
      <c r="I63" s="292"/>
      <c r="J63" s="264">
        <v>0</v>
      </c>
      <c r="K63" s="264">
        <v>0</v>
      </c>
      <c r="L63" s="312">
        <f t="shared" si="6"/>
        <v>0</v>
      </c>
      <c r="M63" s="299">
        <f t="shared" si="7"/>
        <v>0</v>
      </c>
      <c r="N63" s="292"/>
      <c r="O63" s="264">
        <v>0</v>
      </c>
      <c r="P63" s="264">
        <v>0</v>
      </c>
      <c r="Q63" s="312">
        <f t="shared" si="8"/>
        <v>0</v>
      </c>
      <c r="R63" s="353"/>
      <c r="S63" s="264">
        <v>0</v>
      </c>
      <c r="T63" s="264">
        <v>0</v>
      </c>
      <c r="U63" s="312">
        <f t="shared" si="9"/>
        <v>0</v>
      </c>
      <c r="V63" s="299">
        <f t="shared" si="16"/>
        <v>0</v>
      </c>
      <c r="W63" s="292"/>
      <c r="X63" s="264">
        <v>0</v>
      </c>
      <c r="Y63" s="264">
        <v>0</v>
      </c>
      <c r="Z63" s="312">
        <f t="shared" si="12"/>
        <v>0</v>
      </c>
      <c r="AA63" s="323"/>
      <c r="AB63" s="264">
        <v>0</v>
      </c>
      <c r="AC63" s="264">
        <v>0</v>
      </c>
      <c r="AD63" s="312">
        <f t="shared" si="13"/>
        <v>0</v>
      </c>
      <c r="AE63" s="299">
        <f t="shared" si="15"/>
        <v>0</v>
      </c>
      <c r="AF63" s="292"/>
      <c r="AG63" s="336">
        <f t="shared" si="17"/>
        <v>0</v>
      </c>
    </row>
    <row r="64" spans="1:33" ht="15" customHeight="1">
      <c r="A64" s="239" t="s">
        <v>1123</v>
      </c>
      <c r="B64" s="261" t="s">
        <v>121</v>
      </c>
      <c r="C64" s="261" t="s">
        <v>122</v>
      </c>
      <c r="D64" s="262">
        <v>0</v>
      </c>
      <c r="E64" s="262">
        <v>0</v>
      </c>
      <c r="F64" s="262">
        <f t="shared" si="4"/>
        <v>0</v>
      </c>
      <c r="G64" s="262">
        <v>0</v>
      </c>
      <c r="H64" s="312">
        <f t="shared" si="5"/>
        <v>0</v>
      </c>
      <c r="I64" s="292"/>
      <c r="J64" s="262">
        <v>0</v>
      </c>
      <c r="K64" s="262">
        <v>0</v>
      </c>
      <c r="L64" s="312">
        <f t="shared" si="6"/>
        <v>0</v>
      </c>
      <c r="M64" s="299">
        <f t="shared" si="7"/>
        <v>0</v>
      </c>
      <c r="N64" s="292"/>
      <c r="O64" s="262">
        <v>0</v>
      </c>
      <c r="P64" s="262">
        <v>0</v>
      </c>
      <c r="Q64" s="312">
        <f t="shared" si="8"/>
        <v>0</v>
      </c>
      <c r="R64" s="353"/>
      <c r="S64" s="262">
        <v>0</v>
      </c>
      <c r="T64" s="262">
        <v>0</v>
      </c>
      <c r="U64" s="312">
        <f t="shared" si="9"/>
        <v>0</v>
      </c>
      <c r="V64" s="299">
        <f t="shared" si="16"/>
        <v>0</v>
      </c>
      <c r="W64" s="292"/>
      <c r="X64" s="262">
        <v>0</v>
      </c>
      <c r="Y64" s="262">
        <v>0</v>
      </c>
      <c r="Z64" s="312">
        <f t="shared" si="12"/>
        <v>0</v>
      </c>
      <c r="AA64" s="323"/>
      <c r="AB64" s="262">
        <v>0</v>
      </c>
      <c r="AC64" s="262">
        <v>0</v>
      </c>
      <c r="AD64" s="312">
        <f t="shared" si="13"/>
        <v>0</v>
      </c>
      <c r="AE64" s="299">
        <f t="shared" si="15"/>
        <v>0</v>
      </c>
      <c r="AF64" s="292"/>
      <c r="AG64" s="336">
        <f t="shared" si="17"/>
        <v>0</v>
      </c>
    </row>
    <row r="65" spans="1:33" ht="15" customHeight="1">
      <c r="A65" s="239" t="s">
        <v>1124</v>
      </c>
      <c r="B65" s="263" t="s">
        <v>3</v>
      </c>
      <c r="C65" s="263" t="s">
        <v>123</v>
      </c>
      <c r="D65" s="264">
        <v>0</v>
      </c>
      <c r="E65" s="264">
        <v>0</v>
      </c>
      <c r="F65" s="264">
        <f t="shared" si="4"/>
        <v>0</v>
      </c>
      <c r="G65" s="264">
        <v>0</v>
      </c>
      <c r="H65" s="312">
        <f t="shared" si="5"/>
        <v>0</v>
      </c>
      <c r="I65" s="292"/>
      <c r="J65" s="264">
        <v>0</v>
      </c>
      <c r="K65" s="264">
        <v>0</v>
      </c>
      <c r="L65" s="312">
        <f t="shared" si="6"/>
        <v>0</v>
      </c>
      <c r="M65" s="299">
        <f t="shared" si="7"/>
        <v>0</v>
      </c>
      <c r="N65" s="292"/>
      <c r="O65" s="264">
        <v>0</v>
      </c>
      <c r="P65" s="264">
        <v>0</v>
      </c>
      <c r="Q65" s="312">
        <f t="shared" si="8"/>
        <v>0</v>
      </c>
      <c r="R65" s="353"/>
      <c r="S65" s="264">
        <v>0</v>
      </c>
      <c r="T65" s="264">
        <v>0</v>
      </c>
      <c r="U65" s="312">
        <f t="shared" si="9"/>
        <v>0</v>
      </c>
      <c r="V65" s="299">
        <f t="shared" si="16"/>
        <v>0</v>
      </c>
      <c r="W65" s="292"/>
      <c r="X65" s="264">
        <v>0</v>
      </c>
      <c r="Y65" s="264">
        <v>0</v>
      </c>
      <c r="Z65" s="312">
        <f t="shared" si="12"/>
        <v>0</v>
      </c>
      <c r="AA65" s="323"/>
      <c r="AB65" s="264">
        <v>0</v>
      </c>
      <c r="AC65" s="264">
        <v>0</v>
      </c>
      <c r="AD65" s="312">
        <f t="shared" si="13"/>
        <v>0</v>
      </c>
      <c r="AE65" s="299">
        <f t="shared" si="15"/>
        <v>0</v>
      </c>
      <c r="AF65" s="292"/>
      <c r="AG65" s="336">
        <f t="shared" si="17"/>
        <v>0</v>
      </c>
    </row>
    <row r="66" spans="1:33" s="10" customFormat="1" ht="15" customHeight="1">
      <c r="A66" s="239" t="s">
        <v>1125</v>
      </c>
      <c r="B66" s="254" t="s">
        <v>922</v>
      </c>
      <c r="C66" s="254" t="s">
        <v>124</v>
      </c>
      <c r="D66" s="253">
        <f>SUM(D67:D68)</f>
        <v>0</v>
      </c>
      <c r="E66" s="253">
        <f>SUM(E67:E68)</f>
        <v>0</v>
      </c>
      <c r="F66" s="253">
        <f t="shared" si="4"/>
        <v>0</v>
      </c>
      <c r="G66" s="253">
        <f>SUM(G67:G68)</f>
        <v>0</v>
      </c>
      <c r="H66" s="309">
        <f t="shared" si="5"/>
        <v>0</v>
      </c>
      <c r="I66" s="289"/>
      <c r="J66" s="253">
        <f>SUM(J67:J68)</f>
        <v>0</v>
      </c>
      <c r="K66" s="253">
        <f>SUM(K67:K68)</f>
        <v>0</v>
      </c>
      <c r="L66" s="309">
        <f t="shared" si="6"/>
        <v>0</v>
      </c>
      <c r="M66" s="266">
        <f t="shared" si="7"/>
        <v>0</v>
      </c>
      <c r="N66" s="289"/>
      <c r="O66" s="253">
        <f>SUM(O67:O68)</f>
        <v>0</v>
      </c>
      <c r="P66" s="253">
        <f>SUM(P67:P68)</f>
        <v>0</v>
      </c>
      <c r="Q66" s="309">
        <f t="shared" si="8"/>
        <v>0</v>
      </c>
      <c r="R66" s="354"/>
      <c r="S66" s="253">
        <f>SUM(S67:S68)</f>
        <v>0</v>
      </c>
      <c r="T66" s="253">
        <f>SUM(T67:T68)</f>
        <v>0</v>
      </c>
      <c r="U66" s="309">
        <f t="shared" si="9"/>
        <v>0</v>
      </c>
      <c r="V66" s="266">
        <f t="shared" si="16"/>
        <v>0</v>
      </c>
      <c r="W66" s="289"/>
      <c r="X66" s="253">
        <f>SUM(X67:X68)</f>
        <v>0</v>
      </c>
      <c r="Y66" s="253">
        <f>SUM(Y67:Y68)</f>
        <v>0</v>
      </c>
      <c r="Z66" s="309">
        <f t="shared" si="12"/>
        <v>0</v>
      </c>
      <c r="AA66" s="320"/>
      <c r="AB66" s="253">
        <f>SUM(AB67:AB68)</f>
        <v>0</v>
      </c>
      <c r="AC66" s="253">
        <f>SUM(AC67:AC68)</f>
        <v>0</v>
      </c>
      <c r="AD66" s="309">
        <f t="shared" si="13"/>
        <v>0</v>
      </c>
      <c r="AE66" s="266">
        <f t="shared" si="15"/>
        <v>0</v>
      </c>
      <c r="AF66" s="289"/>
      <c r="AG66" s="285">
        <f t="shared" si="17"/>
        <v>0</v>
      </c>
    </row>
    <row r="67" spans="1:33" s="7" customFormat="1" ht="15" customHeight="1" hidden="1">
      <c r="A67" s="239" t="s">
        <v>1126</v>
      </c>
      <c r="B67" s="256" t="s">
        <v>125</v>
      </c>
      <c r="C67" s="259" t="s">
        <v>1078</v>
      </c>
      <c r="D67" s="257">
        <v>0</v>
      </c>
      <c r="E67" s="257">
        <v>0</v>
      </c>
      <c r="F67" s="257">
        <f t="shared" si="4"/>
        <v>0</v>
      </c>
      <c r="G67" s="257">
        <v>0</v>
      </c>
      <c r="H67" s="311">
        <f t="shared" si="5"/>
        <v>0</v>
      </c>
      <c r="I67" s="291"/>
      <c r="J67" s="257">
        <v>0</v>
      </c>
      <c r="K67" s="257">
        <v>0</v>
      </c>
      <c r="L67" s="311">
        <f t="shared" si="6"/>
        <v>0</v>
      </c>
      <c r="M67" s="298">
        <f t="shared" si="7"/>
        <v>0</v>
      </c>
      <c r="N67" s="291"/>
      <c r="O67" s="257">
        <v>0</v>
      </c>
      <c r="P67" s="257">
        <v>0</v>
      </c>
      <c r="Q67" s="311">
        <f t="shared" si="8"/>
        <v>0</v>
      </c>
      <c r="R67" s="351"/>
      <c r="S67" s="257">
        <v>0</v>
      </c>
      <c r="T67" s="257">
        <v>0</v>
      </c>
      <c r="U67" s="311">
        <f t="shared" si="9"/>
        <v>0</v>
      </c>
      <c r="V67" s="298">
        <f t="shared" si="16"/>
        <v>0</v>
      </c>
      <c r="W67" s="291"/>
      <c r="X67" s="257">
        <v>0</v>
      </c>
      <c r="Y67" s="257">
        <v>0</v>
      </c>
      <c r="Z67" s="311">
        <f t="shared" si="12"/>
        <v>0</v>
      </c>
      <c r="AA67" s="322"/>
      <c r="AB67" s="257">
        <v>0</v>
      </c>
      <c r="AC67" s="257">
        <v>0</v>
      </c>
      <c r="AD67" s="311">
        <f t="shared" si="13"/>
        <v>0</v>
      </c>
      <c r="AE67" s="298">
        <f t="shared" si="15"/>
        <v>0</v>
      </c>
      <c r="AF67" s="291"/>
      <c r="AG67" s="335">
        <f t="shared" si="17"/>
        <v>0</v>
      </c>
    </row>
    <row r="68" spans="1:33" s="7" customFormat="1" ht="15" customHeight="1" hidden="1">
      <c r="A68" s="239" t="s">
        <v>1127</v>
      </c>
      <c r="B68" s="259" t="s">
        <v>126</v>
      </c>
      <c r="C68" s="259" t="s">
        <v>1079</v>
      </c>
      <c r="D68" s="260">
        <v>0</v>
      </c>
      <c r="E68" s="260">
        <v>0</v>
      </c>
      <c r="F68" s="260">
        <f aca="true" t="shared" si="18" ref="F68:F73">SUM(D68:E68)</f>
        <v>0</v>
      </c>
      <c r="G68" s="260">
        <v>0</v>
      </c>
      <c r="H68" s="311">
        <f aca="true" t="shared" si="19" ref="H68:H73">F68+G68</f>
        <v>0</v>
      </c>
      <c r="I68" s="291"/>
      <c r="J68" s="260">
        <v>0</v>
      </c>
      <c r="K68" s="260">
        <v>0</v>
      </c>
      <c r="L68" s="311">
        <f aca="true" t="shared" si="20" ref="L68:L73">SUM(J68:K68)</f>
        <v>0</v>
      </c>
      <c r="M68" s="298">
        <f aca="true" t="shared" si="21" ref="M68:M73">H68+L68</f>
        <v>0</v>
      </c>
      <c r="N68" s="291"/>
      <c r="O68" s="260">
        <v>0</v>
      </c>
      <c r="P68" s="260">
        <v>0</v>
      </c>
      <c r="Q68" s="311">
        <f aca="true" t="shared" si="22" ref="Q68:Q73">SUM(O68:P68)</f>
        <v>0</v>
      </c>
      <c r="R68" s="351"/>
      <c r="S68" s="260">
        <v>0</v>
      </c>
      <c r="T68" s="260">
        <v>0</v>
      </c>
      <c r="U68" s="311">
        <f aca="true" t="shared" si="23" ref="U68:U73">SUM(S68:T68)</f>
        <v>0</v>
      </c>
      <c r="V68" s="298">
        <f t="shared" si="16"/>
        <v>0</v>
      </c>
      <c r="W68" s="291"/>
      <c r="X68" s="260">
        <v>0</v>
      </c>
      <c r="Y68" s="260">
        <v>0</v>
      </c>
      <c r="Z68" s="311">
        <f t="shared" si="12"/>
        <v>0</v>
      </c>
      <c r="AA68" s="322"/>
      <c r="AB68" s="260">
        <v>0</v>
      </c>
      <c r="AC68" s="260">
        <v>0</v>
      </c>
      <c r="AD68" s="311">
        <f t="shared" si="13"/>
        <v>0</v>
      </c>
      <c r="AE68" s="298">
        <f t="shared" si="15"/>
        <v>0</v>
      </c>
      <c r="AF68" s="291"/>
      <c r="AG68" s="335">
        <f t="shared" si="17"/>
        <v>0</v>
      </c>
    </row>
    <row r="69" spans="1:33" ht="15" customHeight="1">
      <c r="A69" s="239" t="s">
        <v>1128</v>
      </c>
      <c r="B69" s="261" t="s">
        <v>127</v>
      </c>
      <c r="C69" s="261" t="s">
        <v>128</v>
      </c>
      <c r="D69" s="262">
        <v>0</v>
      </c>
      <c r="E69" s="262">
        <v>0</v>
      </c>
      <c r="F69" s="262">
        <f t="shared" si="18"/>
        <v>0</v>
      </c>
      <c r="G69" s="262">
        <v>0</v>
      </c>
      <c r="H69" s="312">
        <f t="shared" si="19"/>
        <v>0</v>
      </c>
      <c r="I69" s="292"/>
      <c r="J69" s="262">
        <v>0</v>
      </c>
      <c r="K69" s="262">
        <v>0</v>
      </c>
      <c r="L69" s="312">
        <f t="shared" si="20"/>
        <v>0</v>
      </c>
      <c r="M69" s="299">
        <f t="shared" si="21"/>
        <v>0</v>
      </c>
      <c r="N69" s="292"/>
      <c r="O69" s="262">
        <v>0</v>
      </c>
      <c r="P69" s="262">
        <v>0</v>
      </c>
      <c r="Q69" s="312">
        <f t="shared" si="22"/>
        <v>0</v>
      </c>
      <c r="R69" s="353"/>
      <c r="S69" s="262">
        <v>0</v>
      </c>
      <c r="T69" s="262">
        <v>0</v>
      </c>
      <c r="U69" s="312">
        <f t="shared" si="23"/>
        <v>0</v>
      </c>
      <c r="V69" s="299">
        <f t="shared" si="16"/>
        <v>0</v>
      </c>
      <c r="W69" s="292"/>
      <c r="X69" s="262">
        <v>0</v>
      </c>
      <c r="Y69" s="262">
        <v>0</v>
      </c>
      <c r="Z69" s="312">
        <f t="shared" si="12"/>
        <v>0</v>
      </c>
      <c r="AA69" s="323"/>
      <c r="AB69" s="262">
        <v>0</v>
      </c>
      <c r="AC69" s="262">
        <v>0</v>
      </c>
      <c r="AD69" s="312">
        <f t="shared" si="13"/>
        <v>0</v>
      </c>
      <c r="AE69" s="299">
        <f>Z69+AD69</f>
        <v>0</v>
      </c>
      <c r="AF69" s="292"/>
      <c r="AG69" s="336">
        <f t="shared" si="17"/>
        <v>0</v>
      </c>
    </row>
    <row r="70" spans="1:33" ht="15" customHeight="1">
      <c r="A70" s="239" t="s">
        <v>1129</v>
      </c>
      <c r="B70" s="263" t="s">
        <v>129</v>
      </c>
      <c r="C70" s="263" t="s">
        <v>130</v>
      </c>
      <c r="D70" s="262">
        <v>0</v>
      </c>
      <c r="E70" s="262">
        <v>0</v>
      </c>
      <c r="F70" s="262">
        <f t="shared" si="18"/>
        <v>0</v>
      </c>
      <c r="G70" s="262">
        <v>0</v>
      </c>
      <c r="H70" s="312">
        <f t="shared" si="19"/>
        <v>0</v>
      </c>
      <c r="I70" s="292"/>
      <c r="J70" s="262">
        <v>0</v>
      </c>
      <c r="K70" s="262">
        <v>0</v>
      </c>
      <c r="L70" s="312">
        <f t="shared" si="20"/>
        <v>0</v>
      </c>
      <c r="M70" s="299">
        <f t="shared" si="21"/>
        <v>0</v>
      </c>
      <c r="N70" s="292"/>
      <c r="O70" s="262">
        <v>0</v>
      </c>
      <c r="P70" s="262">
        <v>0</v>
      </c>
      <c r="Q70" s="312">
        <f t="shared" si="22"/>
        <v>0</v>
      </c>
      <c r="R70" s="353"/>
      <c r="S70" s="262">
        <v>0</v>
      </c>
      <c r="T70" s="262">
        <v>0</v>
      </c>
      <c r="U70" s="312">
        <f t="shared" si="23"/>
        <v>0</v>
      </c>
      <c r="V70" s="299">
        <f t="shared" si="16"/>
        <v>0</v>
      </c>
      <c r="W70" s="292"/>
      <c r="X70" s="262">
        <v>0</v>
      </c>
      <c r="Y70" s="262">
        <v>0</v>
      </c>
      <c r="Z70" s="312">
        <f t="shared" si="12"/>
        <v>0</v>
      </c>
      <c r="AA70" s="323"/>
      <c r="AB70" s="262">
        <v>0</v>
      </c>
      <c r="AC70" s="262">
        <v>0</v>
      </c>
      <c r="AD70" s="312">
        <f t="shared" si="13"/>
        <v>0</v>
      </c>
      <c r="AE70" s="299">
        <f>Z70+AD70</f>
        <v>0</v>
      </c>
      <c r="AF70" s="292"/>
      <c r="AG70" s="336">
        <f t="shared" si="17"/>
        <v>0</v>
      </c>
    </row>
    <row r="71" spans="1:33" ht="15" customHeight="1">
      <c r="A71" s="239" t="s">
        <v>1130</v>
      </c>
      <c r="B71" s="261" t="s">
        <v>131</v>
      </c>
      <c r="C71" s="261" t="s">
        <v>132</v>
      </c>
      <c r="D71" s="262">
        <v>0</v>
      </c>
      <c r="E71" s="262">
        <v>0</v>
      </c>
      <c r="F71" s="262">
        <f t="shared" si="18"/>
        <v>0</v>
      </c>
      <c r="G71" s="262">
        <v>0</v>
      </c>
      <c r="H71" s="312">
        <f t="shared" si="19"/>
        <v>0</v>
      </c>
      <c r="I71" s="292"/>
      <c r="J71" s="262">
        <v>0</v>
      </c>
      <c r="K71" s="262">
        <v>0</v>
      </c>
      <c r="L71" s="312">
        <f t="shared" si="20"/>
        <v>0</v>
      </c>
      <c r="M71" s="299">
        <f t="shared" si="21"/>
        <v>0</v>
      </c>
      <c r="N71" s="292"/>
      <c r="O71" s="262">
        <v>0</v>
      </c>
      <c r="P71" s="262">
        <v>0</v>
      </c>
      <c r="Q71" s="312">
        <f t="shared" si="22"/>
        <v>0</v>
      </c>
      <c r="R71" s="353"/>
      <c r="S71" s="262">
        <v>0</v>
      </c>
      <c r="T71" s="262">
        <v>0</v>
      </c>
      <c r="U71" s="312">
        <f t="shared" si="23"/>
        <v>0</v>
      </c>
      <c r="V71" s="299">
        <f t="shared" si="16"/>
        <v>0</v>
      </c>
      <c r="W71" s="292"/>
      <c r="X71" s="262">
        <v>0</v>
      </c>
      <c r="Y71" s="262">
        <v>0</v>
      </c>
      <c r="Z71" s="312">
        <f t="shared" si="12"/>
        <v>0</v>
      </c>
      <c r="AA71" s="323"/>
      <c r="AB71" s="262">
        <v>0</v>
      </c>
      <c r="AC71" s="262">
        <v>0</v>
      </c>
      <c r="AD71" s="312">
        <f t="shared" si="13"/>
        <v>0</v>
      </c>
      <c r="AE71" s="299">
        <f>Z71+AD71</f>
        <v>0</v>
      </c>
      <c r="AF71" s="292"/>
      <c r="AG71" s="336">
        <f t="shared" si="17"/>
        <v>0</v>
      </c>
    </row>
    <row r="72" spans="1:33" ht="15" customHeight="1">
      <c r="A72" s="239" t="s">
        <v>1131</v>
      </c>
      <c r="B72" s="263" t="s">
        <v>133</v>
      </c>
      <c r="C72" s="263" t="s">
        <v>134</v>
      </c>
      <c r="D72" s="262">
        <v>0</v>
      </c>
      <c r="E72" s="262">
        <v>0</v>
      </c>
      <c r="F72" s="262">
        <f t="shared" si="18"/>
        <v>0</v>
      </c>
      <c r="G72" s="262">
        <v>0</v>
      </c>
      <c r="H72" s="312">
        <f t="shared" si="19"/>
        <v>0</v>
      </c>
      <c r="I72" s="292"/>
      <c r="J72" s="262">
        <v>0</v>
      </c>
      <c r="K72" s="262">
        <v>0</v>
      </c>
      <c r="L72" s="312">
        <f t="shared" si="20"/>
        <v>0</v>
      </c>
      <c r="M72" s="299">
        <f t="shared" si="21"/>
        <v>0</v>
      </c>
      <c r="N72" s="292"/>
      <c r="O72" s="262">
        <v>0</v>
      </c>
      <c r="P72" s="262">
        <v>0</v>
      </c>
      <c r="Q72" s="312">
        <f t="shared" si="22"/>
        <v>0</v>
      </c>
      <c r="R72" s="353"/>
      <c r="S72" s="262">
        <v>0</v>
      </c>
      <c r="T72" s="262">
        <v>0</v>
      </c>
      <c r="U72" s="312">
        <f t="shared" si="23"/>
        <v>0</v>
      </c>
      <c r="V72" s="299">
        <f t="shared" si="16"/>
        <v>0</v>
      </c>
      <c r="W72" s="292"/>
      <c r="X72" s="262">
        <v>0</v>
      </c>
      <c r="Y72" s="262">
        <v>0</v>
      </c>
      <c r="Z72" s="312">
        <f t="shared" si="12"/>
        <v>0</v>
      </c>
      <c r="AA72" s="323"/>
      <c r="AB72" s="262">
        <v>0</v>
      </c>
      <c r="AC72" s="262">
        <v>0</v>
      </c>
      <c r="AD72" s="312">
        <f t="shared" si="13"/>
        <v>0</v>
      </c>
      <c r="AE72" s="299">
        <f>Z72+AD72</f>
        <v>0</v>
      </c>
      <c r="AF72" s="292"/>
      <c r="AG72" s="336">
        <f t="shared" si="17"/>
        <v>0</v>
      </c>
    </row>
    <row r="73" spans="1:33" ht="15" customHeight="1">
      <c r="A73" s="239" t="s">
        <v>1132</v>
      </c>
      <c r="B73" s="261" t="s">
        <v>4</v>
      </c>
      <c r="C73" s="261" t="s">
        <v>135</v>
      </c>
      <c r="D73" s="262">
        <v>0</v>
      </c>
      <c r="E73" s="262">
        <v>0</v>
      </c>
      <c r="F73" s="262">
        <f t="shared" si="18"/>
        <v>0</v>
      </c>
      <c r="G73" s="262">
        <v>0</v>
      </c>
      <c r="H73" s="312">
        <f t="shared" si="19"/>
        <v>0</v>
      </c>
      <c r="I73" s="292"/>
      <c r="J73" s="262">
        <v>0</v>
      </c>
      <c r="K73" s="262">
        <v>0</v>
      </c>
      <c r="L73" s="312">
        <f t="shared" si="20"/>
        <v>0</v>
      </c>
      <c r="M73" s="299">
        <f t="shared" si="21"/>
        <v>0</v>
      </c>
      <c r="N73" s="292"/>
      <c r="O73" s="262">
        <v>0</v>
      </c>
      <c r="P73" s="262">
        <v>0</v>
      </c>
      <c r="Q73" s="312">
        <f t="shared" si="22"/>
        <v>0</v>
      </c>
      <c r="R73" s="353"/>
      <c r="S73" s="262">
        <v>0</v>
      </c>
      <c r="T73" s="262">
        <v>0</v>
      </c>
      <c r="U73" s="312">
        <f t="shared" si="23"/>
        <v>0</v>
      </c>
      <c r="V73" s="299">
        <f t="shared" si="16"/>
        <v>0</v>
      </c>
      <c r="W73" s="292"/>
      <c r="X73" s="262">
        <v>0</v>
      </c>
      <c r="Y73" s="262">
        <v>0</v>
      </c>
      <c r="Z73" s="312">
        <f t="shared" si="12"/>
        <v>0</v>
      </c>
      <c r="AA73" s="323"/>
      <c r="AB73" s="262">
        <v>0</v>
      </c>
      <c r="AC73" s="262">
        <v>0</v>
      </c>
      <c r="AD73" s="312">
        <f t="shared" si="13"/>
        <v>0</v>
      </c>
      <c r="AE73" s="299">
        <f>Z73+AD73</f>
        <v>0</v>
      </c>
      <c r="AF73" s="292"/>
      <c r="AG73" s="336">
        <f t="shared" si="17"/>
        <v>0</v>
      </c>
    </row>
    <row r="74" spans="1:33" s="10" customFormat="1" ht="15" customHeight="1">
      <c r="A74" s="239" t="s">
        <v>1133</v>
      </c>
      <c r="B74" s="265" t="s">
        <v>940</v>
      </c>
      <c r="C74" s="265" t="s">
        <v>894</v>
      </c>
      <c r="D74" s="266">
        <f>D73+D72+D71+D70+D69+D66+D65+D64+D63+D62+D61+D57+D58+D53+D43+D25+D16+D12+D8+D5</f>
        <v>32995000</v>
      </c>
      <c r="E74" s="266">
        <f>E73+E72+E71+E70+E69+E66+E65+E64+E63+E62+E61+E57+E58+E53+E43+E25+E16+E12+E8+E5</f>
        <v>9140000</v>
      </c>
      <c r="F74" s="266">
        <f>F73+F72+F71+F70+F69+F66+F65+F64+F63+F62+F61+F57+F58+F53+F43+F25+F16+F12+F8+F5</f>
        <v>42135000</v>
      </c>
      <c r="G74" s="266">
        <f>G73+G72+G71+G70+G69+G66+G65+G64+G63+G62+G61+G57+G58+G53+G43+G25+G16+G12+G8+G5</f>
        <v>0</v>
      </c>
      <c r="H74" s="266">
        <f>G74+F74</f>
        <v>42135000</v>
      </c>
      <c r="I74" s="289"/>
      <c r="J74" s="266">
        <f>J73+J72+J71+J70+J69+J66+J65+J64+J63+J62+J61+J57+J58+J53+J43+J25+J16+J12+J8+J5</f>
        <v>42965000</v>
      </c>
      <c r="K74" s="266">
        <f>K73+K72+K71+K70+K69+K66+K65+K64+K63+K62+K61+K57+K58+K53+K43+K25+K16+K12+K8+K5</f>
        <v>0</v>
      </c>
      <c r="L74" s="266">
        <f>L73+L72+L71+L70+L69+L66+L65+L64+L63+L62+L61+L57+L58+L53+L43+L25+L16+L12+L8+L5</f>
        <v>42965000</v>
      </c>
      <c r="M74" s="266">
        <f>L74+H74</f>
        <v>85100000</v>
      </c>
      <c r="N74" s="289"/>
      <c r="O74" s="266">
        <f>O73+O72+O71+O70+O69+O66+O65+O64+O63+O62+O61+O57+O58+O53+O43+O25+O16+O12+O8+O5</f>
        <v>29802000</v>
      </c>
      <c r="P74" s="266">
        <f>P73+P72+P71+P70+P69+P66+P65+P64+P63+P62+P61+P57+P58+P53+P43+P25+P16+P12+P8+P5</f>
        <v>0</v>
      </c>
      <c r="Q74" s="266">
        <f>Q73+Q72+Q71+Q70+Q69+Q66+Q65+Q64+Q63+Q62+Q61+Q57+Q58+Q53+Q43+Q25+Q16+Q12+Q8+Q5</f>
        <v>29802000</v>
      </c>
      <c r="R74" s="354"/>
      <c r="S74" s="266">
        <f>S73+S72+S71+S70+S69+S66+S65+S64+S63+S62+S61+S57+S58+S53+S43+S25+S16+S12+S8+S5</f>
        <v>9298000</v>
      </c>
      <c r="T74" s="266">
        <f>T73+T72+T71+T70+T69+T66+T65+T64+T63+T62+T61+T57+T58+T53+T43+T25+T16+T12+T8+T5</f>
        <v>0</v>
      </c>
      <c r="U74" s="266">
        <f>U73+U72+U71+U70+U69+U66+U65+U64+U63+U62+U61+U57+U58+U53+U43+U25+U16+U12+U8+U5</f>
        <v>9298000</v>
      </c>
      <c r="V74" s="266">
        <f>V73+V72+V71+V70+V69+V66+V65+V64+V63+V62+V61+V57+V58+V53+V43+V25+V16+V12+V8+V5</f>
        <v>39100000</v>
      </c>
      <c r="W74" s="289"/>
      <c r="X74" s="266">
        <f>X73+X72+X71+X70+X69+X66+X65+X64+X63+X62+X61+X57+X58+X53+X43+X25+X16+X12+X8+X5</f>
        <v>102320000</v>
      </c>
      <c r="Y74" s="266">
        <f>Y73+Y72+Y71+Y70+Y69+Y66+Y65+Y64+Y63+Y62+Y61+Y57+Y58+Y53+Y43+Y25+Y16+Y12+Y8+Y5</f>
        <v>-12740000</v>
      </c>
      <c r="Z74" s="266">
        <f>Z73+Z72+Z71+Z70+Z69+Z66+Z65+Z64+Z63+Z62+Z61+Z57+Z58+Z53+Z43+Z25+Z16+Z12+Z8+Z5</f>
        <v>89580000</v>
      </c>
      <c r="AA74" s="320"/>
      <c r="AB74" s="266">
        <f>AB73+AB72+AB71+AB70+AB69+AB66+AB65+AB64+AB63+AB62+AB61+AB57+AB58+AB53+AB43+AB25+AB16+AB12+AB8+AB5</f>
        <v>101430000</v>
      </c>
      <c r="AC74" s="266">
        <f>AC73+AC72+AC71+AC70+AC69+AC66+AC65+AC64+AC63+AC62+AC61+AC57+AC58+AC53+AC43+AC25+AC16+AC12+AC8+AC5</f>
        <v>12740000</v>
      </c>
      <c r="AD74" s="266">
        <f>AD73+AD72+AD71+AD70+AD69+AD66+AD65+AD64+AD63+AD62+AD61+AD57+AD58+AD53+AD43+AD25+AD16+AD12+AD8+AD5</f>
        <v>114170000</v>
      </c>
      <c r="AE74" s="266">
        <f>AE73+AE72+AE71+AE70+AE69+AE66+AE65+AE64+AE63+AE62+AE61+AE57+AE58+AE53+AE43+AE25+AE16+AE12+AE8+AE5</f>
        <v>203750000</v>
      </c>
      <c r="AF74" s="289"/>
      <c r="AG74" s="285">
        <f t="shared" si="17"/>
        <v>327950000</v>
      </c>
    </row>
    <row r="75" spans="1:33" ht="15" customHeight="1">
      <c r="A75" s="239"/>
      <c r="B75" s="267"/>
      <c r="C75" s="267"/>
      <c r="D75" s="268"/>
      <c r="E75" s="268"/>
      <c r="F75" s="650"/>
      <c r="G75" s="268"/>
      <c r="H75" s="268"/>
      <c r="I75" s="292"/>
      <c r="J75" s="650"/>
      <c r="K75" s="268"/>
      <c r="L75" s="268"/>
      <c r="M75" s="300"/>
      <c r="N75" s="305"/>
      <c r="O75" s="268"/>
      <c r="P75" s="268"/>
      <c r="Q75" s="268"/>
      <c r="R75" s="353"/>
      <c r="S75" s="650"/>
      <c r="T75" s="268"/>
      <c r="U75" s="268"/>
      <c r="V75" s="279"/>
      <c r="W75" s="244"/>
      <c r="X75" s="245"/>
      <c r="Y75" s="245"/>
      <c r="Z75" s="245"/>
      <c r="AA75" s="11"/>
      <c r="AB75" s="245"/>
      <c r="AC75" s="328"/>
      <c r="AD75" s="328"/>
      <c r="AE75" s="329"/>
      <c r="AF75" s="11"/>
      <c r="AG75" s="329"/>
    </row>
    <row r="76" spans="2:33" ht="27" customHeight="1">
      <c r="B76" s="246"/>
      <c r="C76" s="687" t="s">
        <v>2</v>
      </c>
      <c r="D76" s="682" t="s">
        <v>1293</v>
      </c>
      <c r="E76" s="682"/>
      <c r="F76" s="682"/>
      <c r="G76" s="682"/>
      <c r="H76" s="682"/>
      <c r="I76" s="240"/>
      <c r="J76" s="682" t="s">
        <v>1294</v>
      </c>
      <c r="K76" s="682"/>
      <c r="L76" s="682"/>
      <c r="M76" s="688" t="s">
        <v>359</v>
      </c>
      <c r="N76" s="243"/>
      <c r="O76" s="682" t="s">
        <v>1297</v>
      </c>
      <c r="P76" s="682"/>
      <c r="Q76" s="683"/>
      <c r="R76" s="340"/>
      <c r="S76" s="682" t="s">
        <v>1298</v>
      </c>
      <c r="T76" s="682"/>
      <c r="U76" s="683"/>
      <c r="V76" s="688" t="s">
        <v>1299</v>
      </c>
      <c r="W76" s="243"/>
      <c r="X76" s="682" t="s">
        <v>1301</v>
      </c>
      <c r="Y76" s="682"/>
      <c r="Z76" s="683"/>
      <c r="AA76" s="304"/>
      <c r="AB76" s="682" t="s">
        <v>907</v>
      </c>
      <c r="AC76" s="682"/>
      <c r="AD76" s="683"/>
      <c r="AE76" s="684" t="s">
        <v>36</v>
      </c>
      <c r="AG76" s="686" t="s">
        <v>360</v>
      </c>
    </row>
    <row r="77" spans="2:33" ht="38.25" customHeight="1">
      <c r="B77" s="246"/>
      <c r="C77" s="685"/>
      <c r="D77" s="316" t="s">
        <v>1306</v>
      </c>
      <c r="E77" s="316" t="s">
        <v>358</v>
      </c>
      <c r="F77" s="316" t="s">
        <v>1307</v>
      </c>
      <c r="G77" s="316" t="s">
        <v>1296</v>
      </c>
      <c r="H77" s="308" t="s">
        <v>1292</v>
      </c>
      <c r="I77" s="288"/>
      <c r="J77" s="316" t="s">
        <v>1307</v>
      </c>
      <c r="K77" s="316" t="s">
        <v>1296</v>
      </c>
      <c r="L77" s="308" t="s">
        <v>1292</v>
      </c>
      <c r="M77" s="685"/>
      <c r="N77" s="339"/>
      <c r="O77" s="316" t="s">
        <v>1307</v>
      </c>
      <c r="P77" s="316" t="s">
        <v>1296</v>
      </c>
      <c r="Q77" s="316" t="s">
        <v>1292</v>
      </c>
      <c r="R77" s="243"/>
      <c r="S77" s="316" t="s">
        <v>1295</v>
      </c>
      <c r="T77" s="316" t="s">
        <v>1296</v>
      </c>
      <c r="U77" s="316" t="s">
        <v>1292</v>
      </c>
      <c r="V77" s="685"/>
      <c r="W77" s="340"/>
      <c r="X77" s="316" t="s">
        <v>1295</v>
      </c>
      <c r="Y77" s="316" t="s">
        <v>1296</v>
      </c>
      <c r="Z77" s="308" t="s">
        <v>1292</v>
      </c>
      <c r="AA77" s="319"/>
      <c r="AB77" s="316" t="s">
        <v>1295</v>
      </c>
      <c r="AC77" s="316" t="s">
        <v>1296</v>
      </c>
      <c r="AD77" s="308" t="s">
        <v>1292</v>
      </c>
      <c r="AE77" s="685"/>
      <c r="AF77" s="288"/>
      <c r="AG77" s="685"/>
    </row>
    <row r="78" spans="1:33" s="9" customFormat="1" ht="8.25" customHeight="1">
      <c r="A78" s="239" t="s">
        <v>1308</v>
      </c>
      <c r="B78" s="269"/>
      <c r="C78" s="270"/>
      <c r="D78" s="270"/>
      <c r="E78" s="270"/>
      <c r="F78" s="270"/>
      <c r="G78" s="270"/>
      <c r="H78" s="270"/>
      <c r="I78" s="293"/>
      <c r="J78" s="270"/>
      <c r="K78" s="270"/>
      <c r="L78" s="270"/>
      <c r="M78" s="270"/>
      <c r="N78" s="293"/>
      <c r="O78" s="270"/>
      <c r="P78" s="270"/>
      <c r="Q78" s="270"/>
      <c r="R78" s="352"/>
      <c r="S78" s="270"/>
      <c r="T78" s="270"/>
      <c r="U78" s="270"/>
      <c r="V78" s="270"/>
      <c r="W78" s="293"/>
      <c r="X78" s="270"/>
      <c r="Y78" s="270"/>
      <c r="Z78" s="270"/>
      <c r="AA78" s="324"/>
      <c r="AB78" s="270"/>
      <c r="AC78" s="270"/>
      <c r="AD78" s="270"/>
      <c r="AE78" s="331"/>
      <c r="AF78" s="293"/>
      <c r="AG78" s="270"/>
    </row>
    <row r="79" spans="1:33" s="15" customFormat="1" ht="15" customHeight="1">
      <c r="A79" s="239" t="s">
        <v>1309</v>
      </c>
      <c r="B79" s="271" t="s">
        <v>379</v>
      </c>
      <c r="C79" s="271" t="s">
        <v>136</v>
      </c>
      <c r="D79" s="272">
        <f>SUM(D80:D85)</f>
        <v>7560000</v>
      </c>
      <c r="E79" s="272">
        <f>SUM(E80:E85)</f>
        <v>4260000</v>
      </c>
      <c r="F79" s="272">
        <f aca="true" t="shared" si="24" ref="F79:F119">SUM(D79:E79)</f>
        <v>11820000</v>
      </c>
      <c r="G79" s="272">
        <f>SUM(G80:G85)</f>
        <v>0</v>
      </c>
      <c r="H79" s="313">
        <f aca="true" t="shared" si="25" ref="H79:H142">F79+G79</f>
        <v>11820000</v>
      </c>
      <c r="I79" s="294"/>
      <c r="J79" s="272">
        <f>SUM(J80:J85)</f>
        <v>29542000</v>
      </c>
      <c r="K79" s="272">
        <f>SUM(K80:K85)</f>
        <v>0</v>
      </c>
      <c r="L79" s="313">
        <f aca="true" t="shared" si="26" ref="L79:L119">SUM(J79:K79)</f>
        <v>29542000</v>
      </c>
      <c r="M79" s="301">
        <f aca="true" t="shared" si="27" ref="M79:M142">H79+L79</f>
        <v>41362000</v>
      </c>
      <c r="N79" s="294"/>
      <c r="O79" s="272">
        <f>SUM(O80:O85)</f>
        <v>10747600</v>
      </c>
      <c r="P79" s="272">
        <f>SUM(P80:P85)</f>
        <v>0</v>
      </c>
      <c r="Q79" s="313">
        <f aca="true" t="shared" si="28" ref="Q79:Q119">SUM(O79:P79)</f>
        <v>10747600</v>
      </c>
      <c r="R79" s="356"/>
      <c r="S79" s="272">
        <f>SUM(S80:S85)</f>
        <v>4101000</v>
      </c>
      <c r="T79" s="272">
        <f>SUM(T80:T85)</f>
        <v>0</v>
      </c>
      <c r="U79" s="313">
        <f aca="true" t="shared" si="29" ref="U79:U119">SUM(S79:T79)</f>
        <v>4101000</v>
      </c>
      <c r="V79" s="301">
        <f aca="true" t="shared" si="30" ref="V79:V90">Q79+U79</f>
        <v>14848600</v>
      </c>
      <c r="W79" s="294"/>
      <c r="X79" s="272">
        <f>SUM(X80:X85)</f>
        <v>47046000</v>
      </c>
      <c r="Y79" s="272">
        <f>SUM(Y80:Y85)</f>
        <v>0</v>
      </c>
      <c r="Z79" s="313">
        <f aca="true" t="shared" si="31" ref="Z79:Z90">SUM(X79:Y79)</f>
        <v>47046000</v>
      </c>
      <c r="AA79" s="325"/>
      <c r="AB79" s="272">
        <f>SUM(AB80:AB85)</f>
        <v>74403000</v>
      </c>
      <c r="AC79" s="272">
        <f>SUM(AC80:AC85)</f>
        <v>0</v>
      </c>
      <c r="AD79" s="313">
        <f aca="true" t="shared" si="32" ref="AD79:AD90">SUM(AB79:AC79)</f>
        <v>74403000</v>
      </c>
      <c r="AE79" s="301">
        <f aca="true" t="shared" si="33" ref="AE79:AE90">Z79+AD79</f>
        <v>121449000</v>
      </c>
      <c r="AF79" s="294">
        <f>SUM(AF80:AF85)</f>
        <v>0</v>
      </c>
      <c r="AG79" s="337">
        <f aca="true" t="shared" si="34" ref="AG79:AG90">M79+V79+AE79</f>
        <v>177659600</v>
      </c>
    </row>
    <row r="80" spans="1:33" s="236" customFormat="1" ht="15" customHeight="1">
      <c r="A80" s="239" t="s">
        <v>1310</v>
      </c>
      <c r="B80" s="250" t="s">
        <v>137</v>
      </c>
      <c r="C80" s="250" t="s">
        <v>138</v>
      </c>
      <c r="D80" s="273">
        <v>7560000</v>
      </c>
      <c r="E80" s="273">
        <v>4260000</v>
      </c>
      <c r="F80" s="273">
        <f>SUM(D80:E80)</f>
        <v>11820000</v>
      </c>
      <c r="G80" s="273">
        <v>0</v>
      </c>
      <c r="H80" s="310">
        <f t="shared" si="25"/>
        <v>11820000</v>
      </c>
      <c r="I80" s="290"/>
      <c r="J80" s="273">
        <v>27847000</v>
      </c>
      <c r="K80" s="273">
        <v>0</v>
      </c>
      <c r="L80" s="310">
        <f t="shared" si="26"/>
        <v>27847000</v>
      </c>
      <c r="M80" s="297">
        <f t="shared" si="27"/>
        <v>39667000</v>
      </c>
      <c r="N80" s="290"/>
      <c r="O80" s="273">
        <v>9240400</v>
      </c>
      <c r="P80" s="273">
        <v>0</v>
      </c>
      <c r="Q80" s="310">
        <f t="shared" si="28"/>
        <v>9240400</v>
      </c>
      <c r="R80" s="355"/>
      <c r="S80" s="273">
        <v>3869000</v>
      </c>
      <c r="T80" s="273">
        <v>0</v>
      </c>
      <c r="U80" s="310">
        <f t="shared" si="29"/>
        <v>3869000</v>
      </c>
      <c r="V80" s="297">
        <f t="shared" si="30"/>
        <v>13109400</v>
      </c>
      <c r="W80" s="290"/>
      <c r="X80" s="273">
        <f>31114860+140</f>
        <v>31115000</v>
      </c>
      <c r="Y80" s="273">
        <v>0</v>
      </c>
      <c r="Z80" s="310">
        <f t="shared" si="31"/>
        <v>31115000</v>
      </c>
      <c r="AA80" s="321"/>
      <c r="AB80" s="273">
        <f>64084740+260</f>
        <v>64085000</v>
      </c>
      <c r="AC80" s="273">
        <v>0</v>
      </c>
      <c r="AD80" s="310">
        <f t="shared" si="32"/>
        <v>64085000</v>
      </c>
      <c r="AE80" s="297">
        <f t="shared" si="33"/>
        <v>95200000</v>
      </c>
      <c r="AF80" s="290"/>
      <c r="AG80" s="334">
        <f t="shared" si="34"/>
        <v>147976400</v>
      </c>
    </row>
    <row r="81" spans="1:33" s="236" customFormat="1" ht="15" customHeight="1">
      <c r="A81" s="239" t="s">
        <v>1311</v>
      </c>
      <c r="B81" s="252" t="s">
        <v>139</v>
      </c>
      <c r="C81" s="252" t="s">
        <v>361</v>
      </c>
      <c r="D81" s="251">
        <v>0</v>
      </c>
      <c r="E81" s="251">
        <v>0</v>
      </c>
      <c r="F81" s="251">
        <f t="shared" si="24"/>
        <v>0</v>
      </c>
      <c r="G81" s="251">
        <v>0</v>
      </c>
      <c r="H81" s="310">
        <f t="shared" si="25"/>
        <v>0</v>
      </c>
      <c r="I81" s="290"/>
      <c r="J81" s="251">
        <v>0</v>
      </c>
      <c r="K81" s="251">
        <v>0</v>
      </c>
      <c r="L81" s="310">
        <f t="shared" si="26"/>
        <v>0</v>
      </c>
      <c r="M81" s="297">
        <f t="shared" si="27"/>
        <v>0</v>
      </c>
      <c r="N81" s="290"/>
      <c r="O81" s="251">
        <v>480000</v>
      </c>
      <c r="P81" s="251">
        <v>0</v>
      </c>
      <c r="Q81" s="310">
        <f t="shared" si="28"/>
        <v>480000</v>
      </c>
      <c r="R81" s="355"/>
      <c r="S81" s="251">
        <v>0</v>
      </c>
      <c r="T81" s="251">
        <v>0</v>
      </c>
      <c r="U81" s="310">
        <f t="shared" si="29"/>
        <v>0</v>
      </c>
      <c r="V81" s="297">
        <f t="shared" si="30"/>
        <v>480000</v>
      </c>
      <c r="W81" s="290"/>
      <c r="X81" s="251">
        <v>0</v>
      </c>
      <c r="Y81" s="251">
        <v>0</v>
      </c>
      <c r="Z81" s="310">
        <f t="shared" si="31"/>
        <v>0</v>
      </c>
      <c r="AA81" s="321"/>
      <c r="AB81" s="251">
        <v>0</v>
      </c>
      <c r="AC81" s="251">
        <v>0</v>
      </c>
      <c r="AD81" s="310">
        <f t="shared" si="32"/>
        <v>0</v>
      </c>
      <c r="AE81" s="297">
        <f t="shared" si="33"/>
        <v>0</v>
      </c>
      <c r="AF81" s="290"/>
      <c r="AG81" s="334">
        <f t="shared" si="34"/>
        <v>480000</v>
      </c>
    </row>
    <row r="82" spans="1:33" s="236" customFormat="1" ht="15" customHeight="1">
      <c r="A82" s="239" t="s">
        <v>1134</v>
      </c>
      <c r="B82" s="250" t="s">
        <v>140</v>
      </c>
      <c r="C82" s="250" t="s">
        <v>141</v>
      </c>
      <c r="D82" s="273">
        <v>0</v>
      </c>
      <c r="E82" s="273">
        <v>0</v>
      </c>
      <c r="F82" s="273">
        <f t="shared" si="24"/>
        <v>0</v>
      </c>
      <c r="G82" s="273">
        <v>0</v>
      </c>
      <c r="H82" s="310">
        <f t="shared" si="25"/>
        <v>0</v>
      </c>
      <c r="I82" s="290"/>
      <c r="J82" s="273">
        <v>1695000</v>
      </c>
      <c r="K82" s="273">
        <v>0</v>
      </c>
      <c r="L82" s="310">
        <f t="shared" si="26"/>
        <v>1695000</v>
      </c>
      <c r="M82" s="297">
        <f t="shared" si="27"/>
        <v>1695000</v>
      </c>
      <c r="N82" s="290"/>
      <c r="O82" s="273">
        <v>240000</v>
      </c>
      <c r="P82" s="273">
        <v>0</v>
      </c>
      <c r="Q82" s="310">
        <f t="shared" si="28"/>
        <v>240000</v>
      </c>
      <c r="R82" s="355"/>
      <c r="S82" s="273">
        <v>132000</v>
      </c>
      <c r="T82" s="273">
        <v>0</v>
      </c>
      <c r="U82" s="310">
        <f t="shared" si="29"/>
        <v>132000</v>
      </c>
      <c r="V82" s="297">
        <f t="shared" si="30"/>
        <v>372000</v>
      </c>
      <c r="W82" s="290"/>
      <c r="X82" s="273">
        <f>3678360-360</f>
        <v>3678000</v>
      </c>
      <c r="Y82" s="273">
        <v>0</v>
      </c>
      <c r="Z82" s="310">
        <f t="shared" si="31"/>
        <v>3678000</v>
      </c>
      <c r="AA82" s="321"/>
      <c r="AB82" s="273">
        <f>3420140-140</f>
        <v>3420000</v>
      </c>
      <c r="AC82" s="273">
        <v>0</v>
      </c>
      <c r="AD82" s="310">
        <f t="shared" si="32"/>
        <v>3420000</v>
      </c>
      <c r="AE82" s="297">
        <f t="shared" si="33"/>
        <v>7098000</v>
      </c>
      <c r="AF82" s="290"/>
      <c r="AG82" s="334">
        <f t="shared" si="34"/>
        <v>9165000</v>
      </c>
    </row>
    <row r="83" spans="1:33" s="236" customFormat="1" ht="15" customHeight="1">
      <c r="A83" s="239" t="s">
        <v>1135</v>
      </c>
      <c r="B83" s="252" t="s">
        <v>142</v>
      </c>
      <c r="C83" s="252" t="s">
        <v>1077</v>
      </c>
      <c r="D83" s="251">
        <v>0</v>
      </c>
      <c r="E83" s="251">
        <v>0</v>
      </c>
      <c r="F83" s="251">
        <f t="shared" si="24"/>
        <v>0</v>
      </c>
      <c r="G83" s="251">
        <v>0</v>
      </c>
      <c r="H83" s="310">
        <f t="shared" si="25"/>
        <v>0</v>
      </c>
      <c r="I83" s="290"/>
      <c r="J83" s="251">
        <v>0</v>
      </c>
      <c r="K83" s="251">
        <v>0</v>
      </c>
      <c r="L83" s="310">
        <f t="shared" si="26"/>
        <v>0</v>
      </c>
      <c r="M83" s="297">
        <f t="shared" si="27"/>
        <v>0</v>
      </c>
      <c r="N83" s="290"/>
      <c r="O83" s="251">
        <v>787200</v>
      </c>
      <c r="P83" s="251">
        <v>0</v>
      </c>
      <c r="Q83" s="310">
        <f t="shared" si="28"/>
        <v>787200</v>
      </c>
      <c r="R83" s="355"/>
      <c r="S83" s="251">
        <v>100000</v>
      </c>
      <c r="T83" s="251">
        <v>0</v>
      </c>
      <c r="U83" s="310">
        <f t="shared" si="29"/>
        <v>100000</v>
      </c>
      <c r="V83" s="297">
        <f t="shared" si="30"/>
        <v>887200</v>
      </c>
      <c r="W83" s="290"/>
      <c r="X83" s="251">
        <v>0</v>
      </c>
      <c r="Y83" s="251">
        <v>0</v>
      </c>
      <c r="Z83" s="310">
        <f t="shared" si="31"/>
        <v>0</v>
      </c>
      <c r="AA83" s="321"/>
      <c r="AB83" s="251">
        <v>0</v>
      </c>
      <c r="AC83" s="251">
        <v>0</v>
      </c>
      <c r="AD83" s="310">
        <f t="shared" si="32"/>
        <v>0</v>
      </c>
      <c r="AE83" s="297">
        <f t="shared" si="33"/>
        <v>0</v>
      </c>
      <c r="AF83" s="290"/>
      <c r="AG83" s="334">
        <f t="shared" si="34"/>
        <v>887200</v>
      </c>
    </row>
    <row r="84" spans="1:33" s="237" customFormat="1" ht="15" customHeight="1">
      <c r="A84" s="239" t="s">
        <v>1136</v>
      </c>
      <c r="B84" s="274"/>
      <c r="C84" s="252" t="s">
        <v>1002</v>
      </c>
      <c r="D84" s="251">
        <v>0</v>
      </c>
      <c r="E84" s="251">
        <v>0</v>
      </c>
      <c r="F84" s="251">
        <f t="shared" si="24"/>
        <v>0</v>
      </c>
      <c r="G84" s="251">
        <v>0</v>
      </c>
      <c r="H84" s="310">
        <f t="shared" si="25"/>
        <v>0</v>
      </c>
      <c r="I84" s="290"/>
      <c r="J84" s="251">
        <v>0</v>
      </c>
      <c r="K84" s="251">
        <v>0</v>
      </c>
      <c r="L84" s="310">
        <f t="shared" si="26"/>
        <v>0</v>
      </c>
      <c r="M84" s="297">
        <f t="shared" si="27"/>
        <v>0</v>
      </c>
      <c r="N84" s="290"/>
      <c r="O84" s="251">
        <v>0</v>
      </c>
      <c r="P84" s="251">
        <v>0</v>
      </c>
      <c r="Q84" s="310">
        <f t="shared" si="28"/>
        <v>0</v>
      </c>
      <c r="R84" s="355"/>
      <c r="S84" s="251">
        <v>0</v>
      </c>
      <c r="T84" s="251">
        <v>0</v>
      </c>
      <c r="U84" s="310">
        <f t="shared" si="29"/>
        <v>0</v>
      </c>
      <c r="V84" s="297">
        <f t="shared" si="30"/>
        <v>0</v>
      </c>
      <c r="W84" s="290"/>
      <c r="X84" s="251">
        <f>8477280-280</f>
        <v>8477000</v>
      </c>
      <c r="Y84" s="251">
        <v>0</v>
      </c>
      <c r="Z84" s="310">
        <f t="shared" si="31"/>
        <v>8477000</v>
      </c>
      <c r="AA84" s="321"/>
      <c r="AB84" s="251">
        <f>219240+1632120-360</f>
        <v>1851000</v>
      </c>
      <c r="AC84" s="251">
        <v>0</v>
      </c>
      <c r="AD84" s="310">
        <f t="shared" si="32"/>
        <v>1851000</v>
      </c>
      <c r="AE84" s="297">
        <f t="shared" si="33"/>
        <v>10328000</v>
      </c>
      <c r="AF84" s="290"/>
      <c r="AG84" s="334">
        <f t="shared" si="34"/>
        <v>10328000</v>
      </c>
    </row>
    <row r="85" spans="1:33" s="237" customFormat="1" ht="15" customHeight="1">
      <c r="A85" s="239" t="s">
        <v>1137</v>
      </c>
      <c r="B85" s="274"/>
      <c r="C85" s="252" t="s">
        <v>1003</v>
      </c>
      <c r="D85" s="251">
        <v>0</v>
      </c>
      <c r="E85" s="251">
        <v>0</v>
      </c>
      <c r="F85" s="251">
        <f t="shared" si="24"/>
        <v>0</v>
      </c>
      <c r="G85" s="251">
        <v>0</v>
      </c>
      <c r="H85" s="310">
        <f t="shared" si="25"/>
        <v>0</v>
      </c>
      <c r="I85" s="290"/>
      <c r="J85" s="251">
        <v>0</v>
      </c>
      <c r="K85" s="251">
        <v>0</v>
      </c>
      <c r="L85" s="310">
        <f t="shared" si="26"/>
        <v>0</v>
      </c>
      <c r="M85" s="297">
        <f t="shared" si="27"/>
        <v>0</v>
      </c>
      <c r="N85" s="290"/>
      <c r="O85" s="251">
        <v>0</v>
      </c>
      <c r="P85" s="251">
        <v>0</v>
      </c>
      <c r="Q85" s="310">
        <f t="shared" si="28"/>
        <v>0</v>
      </c>
      <c r="R85" s="355"/>
      <c r="S85" s="251">
        <v>0</v>
      </c>
      <c r="T85" s="251">
        <v>0</v>
      </c>
      <c r="U85" s="310">
        <f t="shared" si="29"/>
        <v>0</v>
      </c>
      <c r="V85" s="297">
        <f t="shared" si="30"/>
        <v>0</v>
      </c>
      <c r="W85" s="290"/>
      <c r="X85" s="251">
        <f>3775800+200</f>
        <v>3776000</v>
      </c>
      <c r="Y85" s="251">
        <v>0</v>
      </c>
      <c r="Z85" s="310">
        <f t="shared" si="31"/>
        <v>3776000</v>
      </c>
      <c r="AA85" s="321"/>
      <c r="AB85" s="251">
        <f>5047390-390</f>
        <v>5047000</v>
      </c>
      <c r="AC85" s="251">
        <v>0</v>
      </c>
      <c r="AD85" s="310">
        <f t="shared" si="32"/>
        <v>5047000</v>
      </c>
      <c r="AE85" s="297">
        <f t="shared" si="33"/>
        <v>8823000</v>
      </c>
      <c r="AF85" s="290"/>
      <c r="AG85" s="334">
        <f t="shared" si="34"/>
        <v>8823000</v>
      </c>
    </row>
    <row r="86" spans="1:33" s="15" customFormat="1" ht="15" customHeight="1">
      <c r="A86" s="239" t="s">
        <v>1138</v>
      </c>
      <c r="B86" s="275" t="s">
        <v>1</v>
      </c>
      <c r="C86" s="276" t="s">
        <v>143</v>
      </c>
      <c r="D86" s="277">
        <f>SUM(D87:D90)</f>
        <v>0</v>
      </c>
      <c r="E86" s="277">
        <f>SUM(E87:E90)</f>
        <v>400000</v>
      </c>
      <c r="F86" s="277">
        <f t="shared" si="24"/>
        <v>400000</v>
      </c>
      <c r="G86" s="277">
        <f>SUM(G87:G90)</f>
        <v>0</v>
      </c>
      <c r="H86" s="313">
        <f t="shared" si="25"/>
        <v>400000</v>
      </c>
      <c r="I86" s="294"/>
      <c r="J86" s="277">
        <f>SUM(J87:J90)</f>
        <v>583000</v>
      </c>
      <c r="K86" s="277">
        <f>SUM(K87:K90)</f>
        <v>0</v>
      </c>
      <c r="L86" s="313">
        <f t="shared" si="26"/>
        <v>583000</v>
      </c>
      <c r="M86" s="301">
        <f t="shared" si="27"/>
        <v>983000</v>
      </c>
      <c r="N86" s="294"/>
      <c r="O86" s="277">
        <f>SUM(O87:O90)</f>
        <v>400000</v>
      </c>
      <c r="P86" s="277">
        <f>SUM(P87:P90)</f>
        <v>0</v>
      </c>
      <c r="Q86" s="313">
        <f t="shared" si="28"/>
        <v>400000</v>
      </c>
      <c r="R86" s="356"/>
      <c r="S86" s="277">
        <f>SUM(S87:S90)</f>
        <v>200000</v>
      </c>
      <c r="T86" s="277">
        <f>SUM(T87:T90)</f>
        <v>0</v>
      </c>
      <c r="U86" s="313">
        <f t="shared" si="29"/>
        <v>200000</v>
      </c>
      <c r="V86" s="301">
        <f t="shared" si="30"/>
        <v>600000</v>
      </c>
      <c r="W86" s="294"/>
      <c r="X86" s="277">
        <f>SUM(X87:X90)</f>
        <v>2000000</v>
      </c>
      <c r="Y86" s="277">
        <f>SUM(Y87:Y90)</f>
        <v>0</v>
      </c>
      <c r="Z86" s="313">
        <f t="shared" si="31"/>
        <v>2000000</v>
      </c>
      <c r="AA86" s="325"/>
      <c r="AB86" s="277">
        <f>SUM(AB87:AB90)</f>
        <v>2000000</v>
      </c>
      <c r="AC86" s="277">
        <f>SUM(AC87:AC90)</f>
        <v>0</v>
      </c>
      <c r="AD86" s="313">
        <f t="shared" si="32"/>
        <v>2000000</v>
      </c>
      <c r="AE86" s="301">
        <f t="shared" si="33"/>
        <v>4000000</v>
      </c>
      <c r="AF86" s="294"/>
      <c r="AG86" s="337">
        <f t="shared" si="34"/>
        <v>5583000</v>
      </c>
    </row>
    <row r="87" spans="1:33" s="236" customFormat="1" ht="15" customHeight="1" hidden="1">
      <c r="A87" s="239" t="s">
        <v>1139</v>
      </c>
      <c r="B87" s="250" t="s">
        <v>5</v>
      </c>
      <c r="C87" s="250" t="s">
        <v>144</v>
      </c>
      <c r="D87" s="273">
        <v>0</v>
      </c>
      <c r="E87" s="273">
        <v>0</v>
      </c>
      <c r="F87" s="273">
        <v>0</v>
      </c>
      <c r="G87" s="273">
        <v>0</v>
      </c>
      <c r="H87" s="310">
        <f t="shared" si="25"/>
        <v>0</v>
      </c>
      <c r="I87" s="290"/>
      <c r="J87" s="273">
        <v>0</v>
      </c>
      <c r="K87" s="273">
        <v>0</v>
      </c>
      <c r="L87" s="310">
        <f t="shared" si="26"/>
        <v>0</v>
      </c>
      <c r="M87" s="297">
        <f t="shared" si="27"/>
        <v>0</v>
      </c>
      <c r="N87" s="290"/>
      <c r="O87" s="332">
        <v>0</v>
      </c>
      <c r="P87" s="306">
        <f>SUM(P88:P91)</f>
        <v>0</v>
      </c>
      <c r="Q87" s="310">
        <f t="shared" si="28"/>
        <v>0</v>
      </c>
      <c r="R87" s="355"/>
      <c r="S87" s="332">
        <v>0</v>
      </c>
      <c r="T87" s="273">
        <v>0</v>
      </c>
      <c r="U87" s="310">
        <f t="shared" si="29"/>
        <v>0</v>
      </c>
      <c r="V87" s="297">
        <f t="shared" si="30"/>
        <v>0</v>
      </c>
      <c r="W87" s="290"/>
      <c r="X87" s="273">
        <v>0</v>
      </c>
      <c r="Y87" s="273">
        <v>0</v>
      </c>
      <c r="Z87" s="310">
        <f t="shared" si="31"/>
        <v>0</v>
      </c>
      <c r="AA87" s="321"/>
      <c r="AB87" s="273">
        <v>0</v>
      </c>
      <c r="AC87" s="273">
        <v>0</v>
      </c>
      <c r="AD87" s="310">
        <f t="shared" si="32"/>
        <v>0</v>
      </c>
      <c r="AE87" s="297">
        <f t="shared" si="33"/>
        <v>0</v>
      </c>
      <c r="AF87" s="290"/>
      <c r="AG87" s="334">
        <f t="shared" si="34"/>
        <v>0</v>
      </c>
    </row>
    <row r="88" spans="1:33" s="236" customFormat="1" ht="15" customHeight="1">
      <c r="A88" s="239" t="s">
        <v>1140</v>
      </c>
      <c r="B88" s="252" t="s">
        <v>145</v>
      </c>
      <c r="C88" s="252" t="s">
        <v>146</v>
      </c>
      <c r="D88" s="251">
        <v>0</v>
      </c>
      <c r="E88" s="251">
        <v>400000</v>
      </c>
      <c r="F88" s="251">
        <f t="shared" si="24"/>
        <v>400000</v>
      </c>
      <c r="G88" s="251">
        <v>0</v>
      </c>
      <c r="H88" s="310">
        <f t="shared" si="25"/>
        <v>400000</v>
      </c>
      <c r="I88" s="290"/>
      <c r="J88" s="251">
        <v>583000</v>
      </c>
      <c r="K88" s="251">
        <v>0</v>
      </c>
      <c r="L88" s="310">
        <f t="shared" si="26"/>
        <v>583000</v>
      </c>
      <c r="M88" s="297">
        <f t="shared" si="27"/>
        <v>983000</v>
      </c>
      <c r="N88" s="290"/>
      <c r="O88" s="273">
        <v>400000</v>
      </c>
      <c r="P88" s="273">
        <v>0</v>
      </c>
      <c r="Q88" s="310">
        <f t="shared" si="28"/>
        <v>400000</v>
      </c>
      <c r="R88" s="355"/>
      <c r="S88" s="273">
        <v>200000</v>
      </c>
      <c r="T88" s="251">
        <v>0</v>
      </c>
      <c r="U88" s="310">
        <f t="shared" si="29"/>
        <v>200000</v>
      </c>
      <c r="V88" s="297">
        <f t="shared" si="30"/>
        <v>600000</v>
      </c>
      <c r="W88" s="290"/>
      <c r="X88" s="251">
        <v>2000000</v>
      </c>
      <c r="Y88" s="251">
        <v>0</v>
      </c>
      <c r="Z88" s="310">
        <f t="shared" si="31"/>
        <v>2000000</v>
      </c>
      <c r="AA88" s="321"/>
      <c r="AB88" s="251">
        <v>2000000</v>
      </c>
      <c r="AC88" s="251">
        <v>0</v>
      </c>
      <c r="AD88" s="310">
        <f t="shared" si="32"/>
        <v>2000000</v>
      </c>
      <c r="AE88" s="297">
        <f t="shared" si="33"/>
        <v>4000000</v>
      </c>
      <c r="AF88" s="290"/>
      <c r="AG88" s="334">
        <f t="shared" si="34"/>
        <v>5583000</v>
      </c>
    </row>
    <row r="89" spans="1:33" s="236" customFormat="1" ht="15" customHeight="1">
      <c r="A89" s="239" t="s">
        <v>1141</v>
      </c>
      <c r="B89" s="250" t="s">
        <v>147</v>
      </c>
      <c r="C89" s="250" t="s">
        <v>148</v>
      </c>
      <c r="D89" s="273">
        <v>0</v>
      </c>
      <c r="E89" s="273">
        <v>0</v>
      </c>
      <c r="F89" s="251">
        <f t="shared" si="24"/>
        <v>0</v>
      </c>
      <c r="G89" s="273">
        <v>0</v>
      </c>
      <c r="H89" s="310">
        <f t="shared" si="25"/>
        <v>0</v>
      </c>
      <c r="I89" s="290"/>
      <c r="J89" s="273">
        <v>0</v>
      </c>
      <c r="K89" s="273">
        <v>0</v>
      </c>
      <c r="L89" s="310">
        <f t="shared" si="26"/>
        <v>0</v>
      </c>
      <c r="M89" s="297">
        <f t="shared" si="27"/>
        <v>0</v>
      </c>
      <c r="N89" s="290"/>
      <c r="O89" s="251">
        <v>0</v>
      </c>
      <c r="P89" s="251">
        <v>0</v>
      </c>
      <c r="Q89" s="310">
        <f t="shared" si="28"/>
        <v>0</v>
      </c>
      <c r="R89" s="355"/>
      <c r="S89" s="251">
        <v>0</v>
      </c>
      <c r="T89" s="273">
        <v>0</v>
      </c>
      <c r="U89" s="310">
        <f t="shared" si="29"/>
        <v>0</v>
      </c>
      <c r="V89" s="297">
        <f t="shared" si="30"/>
        <v>0</v>
      </c>
      <c r="W89" s="290"/>
      <c r="X89" s="273">
        <v>0</v>
      </c>
      <c r="Y89" s="273">
        <v>0</v>
      </c>
      <c r="Z89" s="310">
        <f t="shared" si="31"/>
        <v>0</v>
      </c>
      <c r="AA89" s="321"/>
      <c r="AB89" s="273">
        <v>0</v>
      </c>
      <c r="AC89" s="273">
        <v>0</v>
      </c>
      <c r="AD89" s="310">
        <f t="shared" si="32"/>
        <v>0</v>
      </c>
      <c r="AE89" s="297">
        <f t="shared" si="33"/>
        <v>0</v>
      </c>
      <c r="AF89" s="290"/>
      <c r="AG89" s="334">
        <f t="shared" si="34"/>
        <v>0</v>
      </c>
    </row>
    <row r="90" spans="1:33" s="236" customFormat="1" ht="15" customHeight="1" hidden="1">
      <c r="A90" s="239" t="s">
        <v>1142</v>
      </c>
      <c r="B90" s="250" t="s">
        <v>149</v>
      </c>
      <c r="C90" s="250" t="s">
        <v>150</v>
      </c>
      <c r="D90" s="273">
        <v>0</v>
      </c>
      <c r="E90" s="273">
        <v>0</v>
      </c>
      <c r="F90" s="273">
        <f t="shared" si="24"/>
        <v>0</v>
      </c>
      <c r="G90" s="273">
        <v>0</v>
      </c>
      <c r="H90" s="310">
        <f t="shared" si="25"/>
        <v>0</v>
      </c>
      <c r="I90" s="290"/>
      <c r="J90" s="273">
        <v>0</v>
      </c>
      <c r="K90" s="273">
        <v>0</v>
      </c>
      <c r="L90" s="310">
        <f t="shared" si="26"/>
        <v>0</v>
      </c>
      <c r="M90" s="297">
        <f t="shared" si="27"/>
        <v>0</v>
      </c>
      <c r="N90" s="290"/>
      <c r="O90" s="273">
        <v>0</v>
      </c>
      <c r="P90" s="273">
        <v>0</v>
      </c>
      <c r="Q90" s="310">
        <f t="shared" si="28"/>
        <v>0</v>
      </c>
      <c r="R90" s="355"/>
      <c r="S90" s="273">
        <v>0</v>
      </c>
      <c r="T90" s="273">
        <v>0</v>
      </c>
      <c r="U90" s="310">
        <f t="shared" si="29"/>
        <v>0</v>
      </c>
      <c r="V90" s="297">
        <f t="shared" si="30"/>
        <v>0</v>
      </c>
      <c r="W90" s="290"/>
      <c r="X90" s="273">
        <v>0</v>
      </c>
      <c r="Y90" s="273">
        <v>0</v>
      </c>
      <c r="Z90" s="310">
        <f t="shared" si="31"/>
        <v>0</v>
      </c>
      <c r="AA90" s="321"/>
      <c r="AB90" s="273">
        <v>0</v>
      </c>
      <c r="AC90" s="273">
        <v>0</v>
      </c>
      <c r="AD90" s="310">
        <f t="shared" si="32"/>
        <v>0</v>
      </c>
      <c r="AE90" s="297">
        <f t="shared" si="33"/>
        <v>0</v>
      </c>
      <c r="AF90" s="290"/>
      <c r="AG90" s="334">
        <f t="shared" si="34"/>
        <v>0</v>
      </c>
    </row>
    <row r="91" spans="1:33" s="5" customFormat="1" ht="6.75" customHeight="1">
      <c r="A91" s="239" t="s">
        <v>1143</v>
      </c>
      <c r="B91" s="278"/>
      <c r="C91" s="278"/>
      <c r="D91" s="279"/>
      <c r="E91" s="279"/>
      <c r="F91" s="279"/>
      <c r="G91" s="279"/>
      <c r="H91" s="279"/>
      <c r="I91" s="292"/>
      <c r="J91" s="279"/>
      <c r="K91" s="279"/>
      <c r="L91" s="279"/>
      <c r="M91" s="279"/>
      <c r="N91" s="292"/>
      <c r="O91" s="258"/>
      <c r="P91" s="258"/>
      <c r="Q91" s="279"/>
      <c r="R91" s="353"/>
      <c r="S91" s="258"/>
      <c r="T91" s="279"/>
      <c r="U91" s="279"/>
      <c r="V91" s="279"/>
      <c r="W91" s="292"/>
      <c r="X91" s="279"/>
      <c r="Y91" s="279"/>
      <c r="Z91" s="279"/>
      <c r="AA91" s="323"/>
      <c r="AB91" s="279"/>
      <c r="AC91" s="279"/>
      <c r="AD91" s="279"/>
      <c r="AE91" s="330"/>
      <c r="AG91" s="330"/>
    </row>
    <row r="92" spans="1:33" s="15" customFormat="1" ht="15" customHeight="1">
      <c r="A92" s="239" t="s">
        <v>1144</v>
      </c>
      <c r="B92" s="271" t="s">
        <v>403</v>
      </c>
      <c r="C92" s="271" t="s">
        <v>151</v>
      </c>
      <c r="D92" s="272">
        <f>SUM(D93:D95)</f>
        <v>180000</v>
      </c>
      <c r="E92" s="272">
        <f>SUM(E93:E95)</f>
        <v>180000</v>
      </c>
      <c r="F92" s="272">
        <f t="shared" si="24"/>
        <v>360000</v>
      </c>
      <c r="G92" s="272">
        <f>SUM(G93:G95)</f>
        <v>0</v>
      </c>
      <c r="H92" s="313">
        <f t="shared" si="25"/>
        <v>360000</v>
      </c>
      <c r="I92" s="294"/>
      <c r="J92" s="272">
        <f>SUM(J93:J95)</f>
        <v>1060000</v>
      </c>
      <c r="K92" s="272">
        <f>SUM(K93:K95)</f>
        <v>0</v>
      </c>
      <c r="L92" s="313">
        <f t="shared" si="26"/>
        <v>1060000</v>
      </c>
      <c r="M92" s="301">
        <f t="shared" si="27"/>
        <v>1420000</v>
      </c>
      <c r="N92" s="294"/>
      <c r="O92" s="272">
        <f>SUM(O93:O95)</f>
        <v>299400</v>
      </c>
      <c r="P92" s="272">
        <f>SUM(P93:P95)</f>
        <v>0</v>
      </c>
      <c r="Q92" s="313">
        <f t="shared" si="28"/>
        <v>299400</v>
      </c>
      <c r="R92" s="356"/>
      <c r="S92" s="272">
        <f>SUM(S93:S95)</f>
        <v>0</v>
      </c>
      <c r="T92" s="272">
        <f>SUM(T93:T95)</f>
        <v>0</v>
      </c>
      <c r="U92" s="313">
        <f t="shared" si="29"/>
        <v>0</v>
      </c>
      <c r="V92" s="301">
        <f>Q92+U92</f>
        <v>299400</v>
      </c>
      <c r="W92" s="294"/>
      <c r="X92" s="272">
        <f>SUM(X93:X95)</f>
        <v>2714000</v>
      </c>
      <c r="Y92" s="272">
        <f>SUM(Y93:Y95)</f>
        <v>0</v>
      </c>
      <c r="Z92" s="313">
        <f>SUM(X92:Y92)</f>
        <v>2714000</v>
      </c>
      <c r="AA92" s="325"/>
      <c r="AB92" s="272">
        <f>SUM(AB93:AB95)</f>
        <v>1075000</v>
      </c>
      <c r="AC92" s="272">
        <f>SUM(AC93:AC95)</f>
        <v>0</v>
      </c>
      <c r="AD92" s="313">
        <f>SUM(AB92:AC92)</f>
        <v>1075000</v>
      </c>
      <c r="AE92" s="301">
        <f>Z92+AD92</f>
        <v>3789000</v>
      </c>
      <c r="AF92" s="294"/>
      <c r="AG92" s="337">
        <f>M92+V92+AE92</f>
        <v>5508400</v>
      </c>
    </row>
    <row r="93" spans="1:33" s="236" customFormat="1" ht="15" customHeight="1">
      <c r="A93" s="239" t="s">
        <v>1145</v>
      </c>
      <c r="B93" s="252" t="s">
        <v>152</v>
      </c>
      <c r="C93" s="252" t="s">
        <v>153</v>
      </c>
      <c r="D93" s="251">
        <v>0</v>
      </c>
      <c r="E93" s="251">
        <v>0</v>
      </c>
      <c r="F93" s="251">
        <f t="shared" si="24"/>
        <v>0</v>
      </c>
      <c r="G93" s="251">
        <v>0</v>
      </c>
      <c r="H93" s="310">
        <f t="shared" si="25"/>
        <v>0</v>
      </c>
      <c r="I93" s="290"/>
      <c r="J93" s="251">
        <v>0</v>
      </c>
      <c r="K93" s="251">
        <v>0</v>
      </c>
      <c r="L93" s="310">
        <f t="shared" si="26"/>
        <v>0</v>
      </c>
      <c r="M93" s="297">
        <f t="shared" si="27"/>
        <v>0</v>
      </c>
      <c r="N93" s="290"/>
      <c r="O93" s="287">
        <v>127800</v>
      </c>
      <c r="P93" s="251">
        <v>0</v>
      </c>
      <c r="Q93" s="310">
        <f t="shared" si="28"/>
        <v>127800</v>
      </c>
      <c r="R93" s="355"/>
      <c r="S93" s="287">
        <v>0</v>
      </c>
      <c r="T93" s="332">
        <v>0</v>
      </c>
      <c r="U93" s="310">
        <f t="shared" si="29"/>
        <v>0</v>
      </c>
      <c r="V93" s="297">
        <f>Q93+U93</f>
        <v>127800</v>
      </c>
      <c r="W93" s="290"/>
      <c r="X93" s="273">
        <f>1714320-320</f>
        <v>1714000</v>
      </c>
      <c r="Y93" s="251">
        <v>0</v>
      </c>
      <c r="Z93" s="310">
        <f>SUM(X93:Y93)</f>
        <v>1714000</v>
      </c>
      <c r="AA93" s="321"/>
      <c r="AB93" s="251">
        <f>1074850+150</f>
        <v>1075000</v>
      </c>
      <c r="AC93" s="251">
        <v>0</v>
      </c>
      <c r="AD93" s="310">
        <f>SUM(AB93:AC93)</f>
        <v>1075000</v>
      </c>
      <c r="AE93" s="297">
        <f>Z93+AD93</f>
        <v>2789000</v>
      </c>
      <c r="AF93" s="290"/>
      <c r="AG93" s="334">
        <f>M93+V93+AE93</f>
        <v>2916800</v>
      </c>
    </row>
    <row r="94" spans="1:33" s="236" customFormat="1" ht="15" customHeight="1">
      <c r="A94" s="239" t="s">
        <v>1312</v>
      </c>
      <c r="B94" s="252" t="s">
        <v>154</v>
      </c>
      <c r="C94" s="252" t="s">
        <v>1519</v>
      </c>
      <c r="D94" s="251">
        <v>180000</v>
      </c>
      <c r="E94" s="251">
        <v>180000</v>
      </c>
      <c r="F94" s="251">
        <f t="shared" si="24"/>
        <v>360000</v>
      </c>
      <c r="G94" s="251">
        <v>0</v>
      </c>
      <c r="H94" s="310">
        <f t="shared" si="25"/>
        <v>360000</v>
      </c>
      <c r="I94" s="290"/>
      <c r="J94" s="251">
        <v>1000000</v>
      </c>
      <c r="K94" s="251">
        <v>0</v>
      </c>
      <c r="L94" s="310">
        <f t="shared" si="26"/>
        <v>1000000</v>
      </c>
      <c r="M94" s="297">
        <f t="shared" si="27"/>
        <v>1360000</v>
      </c>
      <c r="N94" s="290"/>
      <c r="O94" s="251">
        <v>171600</v>
      </c>
      <c r="P94" s="251">
        <v>0</v>
      </c>
      <c r="Q94" s="310">
        <f t="shared" si="28"/>
        <v>171600</v>
      </c>
      <c r="R94" s="355"/>
      <c r="S94" s="251">
        <v>0</v>
      </c>
      <c r="T94" s="251">
        <v>0</v>
      </c>
      <c r="U94" s="310">
        <f t="shared" si="29"/>
        <v>0</v>
      </c>
      <c r="V94" s="297">
        <f>Q94+U94</f>
        <v>171600</v>
      </c>
      <c r="W94" s="290"/>
      <c r="X94" s="251">
        <v>1000000</v>
      </c>
      <c r="Y94" s="251">
        <v>0</v>
      </c>
      <c r="Z94" s="310">
        <f>SUM(X94:Y94)</f>
        <v>1000000</v>
      </c>
      <c r="AA94" s="321"/>
      <c r="AB94" s="251">
        <v>0</v>
      </c>
      <c r="AC94" s="251">
        <v>0</v>
      </c>
      <c r="AD94" s="310">
        <f>SUM(AB94:AC94)</f>
        <v>0</v>
      </c>
      <c r="AE94" s="297">
        <f>Z94+AD94</f>
        <v>1000000</v>
      </c>
      <c r="AF94" s="290"/>
      <c r="AG94" s="334">
        <f>M94+V94+AE94</f>
        <v>2531600</v>
      </c>
    </row>
    <row r="95" spans="1:33" s="236" customFormat="1" ht="15" customHeight="1">
      <c r="A95" s="239" t="s">
        <v>1146</v>
      </c>
      <c r="B95" s="252" t="s">
        <v>155</v>
      </c>
      <c r="C95" s="250" t="s">
        <v>156</v>
      </c>
      <c r="D95" s="251">
        <v>0</v>
      </c>
      <c r="E95" s="251">
        <v>0</v>
      </c>
      <c r="F95" s="251">
        <f t="shared" si="24"/>
        <v>0</v>
      </c>
      <c r="G95" s="251">
        <v>0</v>
      </c>
      <c r="H95" s="310">
        <f t="shared" si="25"/>
        <v>0</v>
      </c>
      <c r="I95" s="290"/>
      <c r="J95" s="251">
        <v>60000</v>
      </c>
      <c r="K95" s="251">
        <v>0</v>
      </c>
      <c r="L95" s="310">
        <f t="shared" si="26"/>
        <v>60000</v>
      </c>
      <c r="M95" s="297">
        <f t="shared" si="27"/>
        <v>60000</v>
      </c>
      <c r="N95" s="290"/>
      <c r="O95" s="251">
        <v>0</v>
      </c>
      <c r="P95" s="251">
        <v>0</v>
      </c>
      <c r="Q95" s="310">
        <f t="shared" si="28"/>
        <v>0</v>
      </c>
      <c r="R95" s="355"/>
      <c r="S95" s="251">
        <v>0</v>
      </c>
      <c r="T95" s="251">
        <v>0</v>
      </c>
      <c r="U95" s="310">
        <f t="shared" si="29"/>
        <v>0</v>
      </c>
      <c r="V95" s="297">
        <f>Q95+U95</f>
        <v>0</v>
      </c>
      <c r="W95" s="290"/>
      <c r="X95" s="251">
        <v>0</v>
      </c>
      <c r="Y95" s="251">
        <v>0</v>
      </c>
      <c r="Z95" s="310">
        <f>SUM(X95:Y95)</f>
        <v>0</v>
      </c>
      <c r="AA95" s="321"/>
      <c r="AB95" s="251">
        <v>0</v>
      </c>
      <c r="AC95" s="251">
        <v>0</v>
      </c>
      <c r="AD95" s="310">
        <f>SUM(AB95:AC95)</f>
        <v>0</v>
      </c>
      <c r="AE95" s="297">
        <f>Z95+AD95</f>
        <v>0</v>
      </c>
      <c r="AF95" s="290"/>
      <c r="AG95" s="334">
        <f>M95+V95+AE95</f>
        <v>60000</v>
      </c>
    </row>
    <row r="96" spans="1:33" s="5" customFormat="1" ht="7.5" customHeight="1">
      <c r="A96" s="239" t="s">
        <v>1147</v>
      </c>
      <c r="B96" s="278"/>
      <c r="C96" s="278"/>
      <c r="D96" s="279"/>
      <c r="E96" s="279"/>
      <c r="F96" s="279"/>
      <c r="G96" s="279"/>
      <c r="H96" s="279"/>
      <c r="I96" s="292"/>
      <c r="J96" s="279"/>
      <c r="K96" s="279"/>
      <c r="L96" s="279"/>
      <c r="M96" s="279"/>
      <c r="N96" s="292"/>
      <c r="O96" s="258"/>
      <c r="P96" s="258"/>
      <c r="Q96" s="279"/>
      <c r="R96" s="353"/>
      <c r="S96" s="258"/>
      <c r="T96" s="279"/>
      <c r="U96" s="279"/>
      <c r="V96" s="279"/>
      <c r="W96" s="292"/>
      <c r="X96" s="279"/>
      <c r="Y96" s="279"/>
      <c r="Z96" s="279"/>
      <c r="AA96" s="323"/>
      <c r="AB96" s="279"/>
      <c r="AC96" s="279"/>
      <c r="AD96" s="279"/>
      <c r="AE96" s="279"/>
      <c r="AF96" s="292"/>
      <c r="AG96" s="279"/>
    </row>
    <row r="97" spans="1:33" s="15" customFormat="1" ht="15" customHeight="1">
      <c r="A97" s="239" t="s">
        <v>1148</v>
      </c>
      <c r="B97" s="271" t="s">
        <v>923</v>
      </c>
      <c r="C97" s="271" t="s">
        <v>157</v>
      </c>
      <c r="D97" s="272">
        <f>SUM(D98:D102)</f>
        <v>0</v>
      </c>
      <c r="E97" s="272">
        <f>SUM(E98:E102)</f>
        <v>0</v>
      </c>
      <c r="F97" s="272">
        <f t="shared" si="24"/>
        <v>0</v>
      </c>
      <c r="G97" s="272">
        <f>SUM(G98:G102)</f>
        <v>0</v>
      </c>
      <c r="H97" s="313">
        <f t="shared" si="25"/>
        <v>0</v>
      </c>
      <c r="I97" s="294"/>
      <c r="J97" s="272">
        <f>SUM(J98:J102)</f>
        <v>0</v>
      </c>
      <c r="K97" s="272">
        <f>SUM(K98:K102)</f>
        <v>0</v>
      </c>
      <c r="L97" s="313">
        <f t="shared" si="26"/>
        <v>0</v>
      </c>
      <c r="M97" s="301">
        <f t="shared" si="27"/>
        <v>0</v>
      </c>
      <c r="N97" s="294"/>
      <c r="O97" s="272">
        <f>SUM(O98:O102)</f>
        <v>0</v>
      </c>
      <c r="P97" s="272">
        <f>SUM(P98:P102)</f>
        <v>0</v>
      </c>
      <c r="Q97" s="313">
        <f t="shared" si="28"/>
        <v>0</v>
      </c>
      <c r="R97" s="356"/>
      <c r="S97" s="272">
        <f>SUM(S98:S102)</f>
        <v>0</v>
      </c>
      <c r="T97" s="272">
        <f>SUM(T98:T102)</f>
        <v>0</v>
      </c>
      <c r="U97" s="313">
        <f t="shared" si="29"/>
        <v>0</v>
      </c>
      <c r="V97" s="301">
        <f>Q97+U97</f>
        <v>0</v>
      </c>
      <c r="W97" s="294"/>
      <c r="X97" s="272">
        <f>SUM(X98:X102)</f>
        <v>0</v>
      </c>
      <c r="Y97" s="272">
        <f>SUM(Y98:Y102)</f>
        <v>0</v>
      </c>
      <c r="Z97" s="313">
        <f>SUM(X97:Y97)</f>
        <v>0</v>
      </c>
      <c r="AA97" s="325"/>
      <c r="AB97" s="272">
        <f>SUM(AB98:AB102)</f>
        <v>932000</v>
      </c>
      <c r="AC97" s="272">
        <f>SUM(AC98:AC102)</f>
        <v>0</v>
      </c>
      <c r="AD97" s="313">
        <f>SUM(AB97:AC97)</f>
        <v>932000</v>
      </c>
      <c r="AE97" s="301">
        <f>Z97+AD97</f>
        <v>932000</v>
      </c>
      <c r="AF97" s="294"/>
      <c r="AG97" s="337">
        <f>M97+V97+AE97</f>
        <v>932000</v>
      </c>
    </row>
    <row r="98" spans="1:33" s="236" customFormat="1" ht="15" customHeight="1">
      <c r="A98" s="239" t="s">
        <v>1149</v>
      </c>
      <c r="B98" s="252" t="s">
        <v>158</v>
      </c>
      <c r="C98" s="252" t="s">
        <v>1518</v>
      </c>
      <c r="D98" s="251">
        <v>0</v>
      </c>
      <c r="E98" s="251">
        <v>0</v>
      </c>
      <c r="F98" s="251">
        <f t="shared" si="24"/>
        <v>0</v>
      </c>
      <c r="G98" s="251">
        <v>0</v>
      </c>
      <c r="H98" s="310">
        <f t="shared" si="25"/>
        <v>0</v>
      </c>
      <c r="I98" s="290"/>
      <c r="J98" s="251">
        <v>0</v>
      </c>
      <c r="K98" s="251">
        <v>0</v>
      </c>
      <c r="L98" s="310">
        <f t="shared" si="26"/>
        <v>0</v>
      </c>
      <c r="M98" s="297">
        <f t="shared" si="27"/>
        <v>0</v>
      </c>
      <c r="N98" s="290"/>
      <c r="O98" s="251">
        <v>0</v>
      </c>
      <c r="P98" s="251">
        <v>0</v>
      </c>
      <c r="Q98" s="310">
        <f t="shared" si="28"/>
        <v>0</v>
      </c>
      <c r="R98" s="355"/>
      <c r="S98" s="251">
        <v>0</v>
      </c>
      <c r="T98" s="251">
        <v>0</v>
      </c>
      <c r="U98" s="310">
        <f t="shared" si="29"/>
        <v>0</v>
      </c>
      <c r="V98" s="297">
        <f>Q98+U98</f>
        <v>0</v>
      </c>
      <c r="W98" s="290"/>
      <c r="X98" s="251">
        <v>0</v>
      </c>
      <c r="Y98" s="251">
        <v>0</v>
      </c>
      <c r="Z98" s="310">
        <f>SUM(X98:Y98)</f>
        <v>0</v>
      </c>
      <c r="AA98" s="321"/>
      <c r="AB98" s="251">
        <f>931770+230</f>
        <v>932000</v>
      </c>
      <c r="AC98" s="251">
        <v>0</v>
      </c>
      <c r="AD98" s="310">
        <f>SUM(AB98:AC98)</f>
        <v>932000</v>
      </c>
      <c r="AE98" s="297">
        <f>Z98+AD98</f>
        <v>932000</v>
      </c>
      <c r="AF98" s="290"/>
      <c r="AG98" s="334">
        <f>M98+V98+AE98</f>
        <v>932000</v>
      </c>
    </row>
    <row r="99" spans="1:33" s="236" customFormat="1" ht="15" customHeight="1" hidden="1">
      <c r="A99" s="239" t="s">
        <v>1313</v>
      </c>
      <c r="B99" s="250" t="s">
        <v>159</v>
      </c>
      <c r="C99" s="250" t="s">
        <v>160</v>
      </c>
      <c r="D99" s="273">
        <v>0</v>
      </c>
      <c r="E99" s="273">
        <v>0</v>
      </c>
      <c r="F99" s="273">
        <f t="shared" si="24"/>
        <v>0</v>
      </c>
      <c r="G99" s="273">
        <v>0</v>
      </c>
      <c r="H99" s="310">
        <f t="shared" si="25"/>
        <v>0</v>
      </c>
      <c r="I99" s="290"/>
      <c r="J99" s="273">
        <v>0</v>
      </c>
      <c r="K99" s="273">
        <v>0</v>
      </c>
      <c r="L99" s="310">
        <f t="shared" si="26"/>
        <v>0</v>
      </c>
      <c r="M99" s="297">
        <f t="shared" si="27"/>
        <v>0</v>
      </c>
      <c r="N99" s="290"/>
      <c r="O99" s="273">
        <v>0</v>
      </c>
      <c r="P99" s="273">
        <v>0</v>
      </c>
      <c r="Q99" s="310">
        <f t="shared" si="28"/>
        <v>0</v>
      </c>
      <c r="R99" s="355"/>
      <c r="S99" s="273">
        <v>0</v>
      </c>
      <c r="T99" s="273">
        <v>0</v>
      </c>
      <c r="U99" s="310">
        <f t="shared" si="29"/>
        <v>0</v>
      </c>
      <c r="V99" s="297">
        <f>Q99+U99</f>
        <v>0</v>
      </c>
      <c r="W99" s="290"/>
      <c r="X99" s="273">
        <v>0</v>
      </c>
      <c r="Y99" s="273">
        <v>0</v>
      </c>
      <c r="Z99" s="310">
        <f>SUM(X99:Y99)</f>
        <v>0</v>
      </c>
      <c r="AA99" s="321"/>
      <c r="AB99" s="273">
        <v>0</v>
      </c>
      <c r="AC99" s="273">
        <v>0</v>
      </c>
      <c r="AD99" s="310">
        <f>SUM(AB99:AC99)</f>
        <v>0</v>
      </c>
      <c r="AE99" s="297">
        <f>Z99+AD99</f>
        <v>0</v>
      </c>
      <c r="AF99" s="290"/>
      <c r="AG99" s="334">
        <f>M99+V99+AE99</f>
        <v>0</v>
      </c>
    </row>
    <row r="100" spans="1:33" s="236" customFormat="1" ht="15" customHeight="1" hidden="1">
      <c r="A100" s="239" t="s">
        <v>1150</v>
      </c>
      <c r="B100" s="250" t="s">
        <v>1004</v>
      </c>
      <c r="C100" s="250" t="s">
        <v>1006</v>
      </c>
      <c r="D100" s="273">
        <v>0</v>
      </c>
      <c r="E100" s="273">
        <v>0</v>
      </c>
      <c r="F100" s="273">
        <f t="shared" si="24"/>
        <v>0</v>
      </c>
      <c r="G100" s="273">
        <v>0</v>
      </c>
      <c r="H100" s="310">
        <f t="shared" si="25"/>
        <v>0</v>
      </c>
      <c r="I100" s="290"/>
      <c r="J100" s="273">
        <v>0</v>
      </c>
      <c r="K100" s="273">
        <v>0</v>
      </c>
      <c r="L100" s="310">
        <f t="shared" si="26"/>
        <v>0</v>
      </c>
      <c r="M100" s="297">
        <f t="shared" si="27"/>
        <v>0</v>
      </c>
      <c r="N100" s="290"/>
      <c r="O100" s="273">
        <v>0</v>
      </c>
      <c r="P100" s="273">
        <v>0</v>
      </c>
      <c r="Q100" s="310">
        <f t="shared" si="28"/>
        <v>0</v>
      </c>
      <c r="R100" s="355"/>
      <c r="S100" s="273">
        <v>0</v>
      </c>
      <c r="T100" s="273">
        <v>0</v>
      </c>
      <c r="U100" s="310">
        <f t="shared" si="29"/>
        <v>0</v>
      </c>
      <c r="V100" s="297">
        <f>Q100+U100</f>
        <v>0</v>
      </c>
      <c r="W100" s="290"/>
      <c r="X100" s="273">
        <v>0</v>
      </c>
      <c r="Y100" s="273">
        <v>0</v>
      </c>
      <c r="Z100" s="310">
        <f>SUM(X100:Y100)</f>
        <v>0</v>
      </c>
      <c r="AA100" s="321"/>
      <c r="AB100" s="273">
        <v>0</v>
      </c>
      <c r="AC100" s="273">
        <v>0</v>
      </c>
      <c r="AD100" s="310">
        <f>SUM(AB100:AC100)</f>
        <v>0</v>
      </c>
      <c r="AE100" s="297">
        <f>Z100+AD100</f>
        <v>0</v>
      </c>
      <c r="AF100" s="290"/>
      <c r="AG100" s="334">
        <f>M100+V100+AE100</f>
        <v>0</v>
      </c>
    </row>
    <row r="101" spans="1:33" s="236" customFormat="1" ht="15" customHeight="1" hidden="1">
      <c r="A101" s="239" t="s">
        <v>1151</v>
      </c>
      <c r="B101" s="250" t="s">
        <v>1005</v>
      </c>
      <c r="C101" s="250" t="s">
        <v>1007</v>
      </c>
      <c r="D101" s="273">
        <v>0</v>
      </c>
      <c r="E101" s="273">
        <v>0</v>
      </c>
      <c r="F101" s="273">
        <f t="shared" si="24"/>
        <v>0</v>
      </c>
      <c r="G101" s="273">
        <v>0</v>
      </c>
      <c r="H101" s="310">
        <f t="shared" si="25"/>
        <v>0</v>
      </c>
      <c r="I101" s="290"/>
      <c r="J101" s="273">
        <v>0</v>
      </c>
      <c r="K101" s="273">
        <v>0</v>
      </c>
      <c r="L101" s="310">
        <f t="shared" si="26"/>
        <v>0</v>
      </c>
      <c r="M101" s="297">
        <f t="shared" si="27"/>
        <v>0</v>
      </c>
      <c r="N101" s="290"/>
      <c r="O101" s="273">
        <v>0</v>
      </c>
      <c r="P101" s="273">
        <v>0</v>
      </c>
      <c r="Q101" s="310">
        <f t="shared" si="28"/>
        <v>0</v>
      </c>
      <c r="R101" s="355"/>
      <c r="S101" s="273">
        <v>0</v>
      </c>
      <c r="T101" s="273">
        <v>0</v>
      </c>
      <c r="U101" s="310">
        <f t="shared" si="29"/>
        <v>0</v>
      </c>
      <c r="V101" s="297">
        <f>Q101+U101</f>
        <v>0</v>
      </c>
      <c r="W101" s="290"/>
      <c r="X101" s="273">
        <v>0</v>
      </c>
      <c r="Y101" s="273">
        <v>0</v>
      </c>
      <c r="Z101" s="310">
        <f>SUM(X101:Y101)</f>
        <v>0</v>
      </c>
      <c r="AA101" s="321"/>
      <c r="AB101" s="273">
        <v>0</v>
      </c>
      <c r="AC101" s="273">
        <v>0</v>
      </c>
      <c r="AD101" s="310">
        <f>SUM(AB101:AC101)</f>
        <v>0</v>
      </c>
      <c r="AE101" s="297">
        <f>Z101+AD101</f>
        <v>0</v>
      </c>
      <c r="AF101" s="290"/>
      <c r="AG101" s="334">
        <f>M101+V101+AE101</f>
        <v>0</v>
      </c>
    </row>
    <row r="102" spans="1:33" s="5" customFormat="1" ht="6.75" customHeight="1">
      <c r="A102" s="239" t="s">
        <v>1152</v>
      </c>
      <c r="B102" s="278"/>
      <c r="C102" s="278"/>
      <c r="D102" s="279"/>
      <c r="E102" s="279"/>
      <c r="F102" s="279"/>
      <c r="G102" s="279"/>
      <c r="H102" s="279"/>
      <c r="I102" s="292"/>
      <c r="J102" s="279"/>
      <c r="K102" s="279"/>
      <c r="L102" s="279"/>
      <c r="M102" s="279"/>
      <c r="N102" s="292"/>
      <c r="O102" s="279"/>
      <c r="P102" s="279"/>
      <c r="Q102" s="279"/>
      <c r="R102" s="353"/>
      <c r="S102" s="279"/>
      <c r="T102" s="279"/>
      <c r="U102" s="279"/>
      <c r="V102" s="279"/>
      <c r="W102" s="292"/>
      <c r="X102" s="279"/>
      <c r="Y102" s="279"/>
      <c r="Z102" s="279"/>
      <c r="AA102" s="323"/>
      <c r="AB102" s="279"/>
      <c r="AC102" s="279"/>
      <c r="AD102" s="279"/>
      <c r="AE102" s="279"/>
      <c r="AF102" s="292"/>
      <c r="AG102" s="279"/>
    </row>
    <row r="103" spans="1:33" s="15" customFormat="1" ht="15" customHeight="1">
      <c r="A103" s="239" t="s">
        <v>1153</v>
      </c>
      <c r="B103" s="271" t="s">
        <v>430</v>
      </c>
      <c r="C103" s="276" t="s">
        <v>161</v>
      </c>
      <c r="D103" s="277">
        <f>D105+D104+D111+D112</f>
        <v>7840000</v>
      </c>
      <c r="E103" s="277">
        <f>E105+E104+E111+E112</f>
        <v>0</v>
      </c>
      <c r="F103" s="277">
        <f t="shared" si="24"/>
        <v>7840000</v>
      </c>
      <c r="G103" s="277">
        <f>G105+G104+G111+G112</f>
        <v>0</v>
      </c>
      <c r="H103" s="313">
        <f t="shared" si="25"/>
        <v>7840000</v>
      </c>
      <c r="I103" s="294"/>
      <c r="J103" s="277">
        <f>J105+J104+J111+J112</f>
        <v>300000</v>
      </c>
      <c r="K103" s="277">
        <f>K105+K104+K111+K112</f>
        <v>0</v>
      </c>
      <c r="L103" s="313">
        <f t="shared" si="26"/>
        <v>300000</v>
      </c>
      <c r="M103" s="301">
        <f t="shared" si="27"/>
        <v>8140000</v>
      </c>
      <c r="N103" s="294"/>
      <c r="O103" s="277">
        <f>O105+O104+O111+O112</f>
        <v>84000</v>
      </c>
      <c r="P103" s="277">
        <f>P105+P104+P111+P112</f>
        <v>0</v>
      </c>
      <c r="Q103" s="313">
        <f t="shared" si="28"/>
        <v>84000</v>
      </c>
      <c r="R103" s="356"/>
      <c r="S103" s="277">
        <f>S105+S104+S111+S112</f>
        <v>0</v>
      </c>
      <c r="T103" s="277">
        <f>T105+T104+T111+T112</f>
        <v>0</v>
      </c>
      <c r="U103" s="313">
        <f t="shared" si="29"/>
        <v>0</v>
      </c>
      <c r="V103" s="301">
        <f aca="true" t="shared" si="35" ref="V103:V113">Q103+U103</f>
        <v>84000</v>
      </c>
      <c r="W103" s="294"/>
      <c r="X103" s="277">
        <f>X105+X104+X111+X112</f>
        <v>6648000</v>
      </c>
      <c r="Y103" s="277">
        <f>Y105+Y104+Y111+Y112</f>
        <v>0</v>
      </c>
      <c r="Z103" s="313">
        <f aca="true" t="shared" si="36" ref="Z103:Z113">SUM(X103:Y103)</f>
        <v>6648000</v>
      </c>
      <c r="AA103" s="325"/>
      <c r="AB103" s="277">
        <f>AB105+AB104+AB111+AB112</f>
        <v>4890000</v>
      </c>
      <c r="AC103" s="277">
        <f>AC105+AC104+AC111+AC112</f>
        <v>0</v>
      </c>
      <c r="AD103" s="313">
        <f aca="true" t="shared" si="37" ref="AD103:AD113">SUM(AB103:AC103)</f>
        <v>4890000</v>
      </c>
      <c r="AE103" s="301">
        <f aca="true" t="shared" si="38" ref="AE103:AE113">Z103+AD103</f>
        <v>11538000</v>
      </c>
      <c r="AF103" s="294"/>
      <c r="AG103" s="337">
        <f aca="true" t="shared" si="39" ref="AG103:AG112">M103+V103+AE103</f>
        <v>19762000</v>
      </c>
    </row>
    <row r="104" spans="1:33" s="15" customFormat="1" ht="15" customHeight="1">
      <c r="A104" s="239" t="s">
        <v>1154</v>
      </c>
      <c r="B104" s="271" t="s">
        <v>924</v>
      </c>
      <c r="C104" s="271" t="s">
        <v>162</v>
      </c>
      <c r="D104" s="272">
        <v>4320000</v>
      </c>
      <c r="E104" s="272">
        <v>0</v>
      </c>
      <c r="F104" s="272">
        <f t="shared" si="24"/>
        <v>4320000</v>
      </c>
      <c r="G104" s="272">
        <v>0</v>
      </c>
      <c r="H104" s="313">
        <f t="shared" si="25"/>
        <v>4320000</v>
      </c>
      <c r="I104" s="294"/>
      <c r="J104" s="272">
        <v>0</v>
      </c>
      <c r="K104" s="272">
        <v>0</v>
      </c>
      <c r="L104" s="313">
        <f t="shared" si="26"/>
        <v>0</v>
      </c>
      <c r="M104" s="301">
        <f t="shared" si="27"/>
        <v>4320000</v>
      </c>
      <c r="N104" s="294"/>
      <c r="O104" s="272">
        <v>0</v>
      </c>
      <c r="P104" s="272">
        <v>0</v>
      </c>
      <c r="Q104" s="313">
        <f t="shared" si="28"/>
        <v>0</v>
      </c>
      <c r="R104" s="356"/>
      <c r="S104" s="272">
        <v>0</v>
      </c>
      <c r="T104" s="272">
        <v>0</v>
      </c>
      <c r="U104" s="313">
        <f t="shared" si="29"/>
        <v>0</v>
      </c>
      <c r="V104" s="301">
        <f t="shared" si="35"/>
        <v>0</v>
      </c>
      <c r="W104" s="294"/>
      <c r="X104" s="272">
        <v>0</v>
      </c>
      <c r="Y104" s="272">
        <v>0</v>
      </c>
      <c r="Z104" s="313">
        <f t="shared" si="36"/>
        <v>0</v>
      </c>
      <c r="AA104" s="325"/>
      <c r="AB104" s="272">
        <v>0</v>
      </c>
      <c r="AC104" s="272">
        <v>0</v>
      </c>
      <c r="AD104" s="313">
        <f t="shared" si="37"/>
        <v>0</v>
      </c>
      <c r="AE104" s="301">
        <f t="shared" si="38"/>
        <v>0</v>
      </c>
      <c r="AF104" s="294"/>
      <c r="AG104" s="337">
        <f t="shared" si="39"/>
        <v>4320000</v>
      </c>
    </row>
    <row r="105" spans="1:33" s="15" customFormat="1" ht="15" customHeight="1">
      <c r="A105" s="239" t="s">
        <v>1314</v>
      </c>
      <c r="B105" s="280" t="s">
        <v>357</v>
      </c>
      <c r="C105" s="280" t="s">
        <v>163</v>
      </c>
      <c r="D105" s="272">
        <f>SUM(D106:D110)</f>
        <v>2800000</v>
      </c>
      <c r="E105" s="272">
        <f>SUM(E106:E110)</f>
        <v>0</v>
      </c>
      <c r="F105" s="272">
        <f t="shared" si="24"/>
        <v>2800000</v>
      </c>
      <c r="G105" s="272">
        <f>SUM(G106:G110)</f>
        <v>0</v>
      </c>
      <c r="H105" s="313">
        <f t="shared" si="25"/>
        <v>2800000</v>
      </c>
      <c r="I105" s="294"/>
      <c r="J105" s="272">
        <f>SUM(J106:J110)</f>
        <v>0</v>
      </c>
      <c r="K105" s="272">
        <f>SUM(K106:K110)</f>
        <v>0</v>
      </c>
      <c r="L105" s="313">
        <f t="shared" si="26"/>
        <v>0</v>
      </c>
      <c r="M105" s="301">
        <f t="shared" si="27"/>
        <v>2800000</v>
      </c>
      <c r="N105" s="294"/>
      <c r="O105" s="272">
        <f>SUM(O106:O110)</f>
        <v>84000</v>
      </c>
      <c r="P105" s="272">
        <f>SUM(P106:P110)</f>
        <v>0</v>
      </c>
      <c r="Q105" s="313">
        <f t="shared" si="28"/>
        <v>84000</v>
      </c>
      <c r="R105" s="356"/>
      <c r="S105" s="272">
        <f>SUM(S106:S110)</f>
        <v>0</v>
      </c>
      <c r="T105" s="272">
        <f>SUM(T106:T110)</f>
        <v>0</v>
      </c>
      <c r="U105" s="313">
        <f t="shared" si="29"/>
        <v>0</v>
      </c>
      <c r="V105" s="301">
        <f t="shared" si="35"/>
        <v>84000</v>
      </c>
      <c r="W105" s="294"/>
      <c r="X105" s="272">
        <f>SUM(X106:X110)</f>
        <v>5452000</v>
      </c>
      <c r="Y105" s="272">
        <f>SUM(Y106:Y110)</f>
        <v>0</v>
      </c>
      <c r="Z105" s="313">
        <f t="shared" si="36"/>
        <v>5452000</v>
      </c>
      <c r="AA105" s="325"/>
      <c r="AB105" s="272">
        <f>SUM(AB106:AB110)</f>
        <v>4890000</v>
      </c>
      <c r="AC105" s="272">
        <f>SUM(AC106:AC110)</f>
        <v>0</v>
      </c>
      <c r="AD105" s="313">
        <f t="shared" si="37"/>
        <v>4890000</v>
      </c>
      <c r="AE105" s="301">
        <f t="shared" si="38"/>
        <v>10342000</v>
      </c>
      <c r="AF105" s="294"/>
      <c r="AG105" s="337">
        <f t="shared" si="39"/>
        <v>13226000</v>
      </c>
    </row>
    <row r="106" spans="1:33" s="236" customFormat="1" ht="15" customHeight="1">
      <c r="A106" s="239" t="s">
        <v>1155</v>
      </c>
      <c r="B106" s="252" t="s">
        <v>164</v>
      </c>
      <c r="C106" s="252" t="s">
        <v>1515</v>
      </c>
      <c r="D106" s="251">
        <v>2800000</v>
      </c>
      <c r="E106" s="251">
        <v>0</v>
      </c>
      <c r="F106" s="251">
        <f t="shared" si="24"/>
        <v>2800000</v>
      </c>
      <c r="G106" s="251">
        <v>0</v>
      </c>
      <c r="H106" s="310">
        <f t="shared" si="25"/>
        <v>2800000</v>
      </c>
      <c r="I106" s="290"/>
      <c r="J106" s="251">
        <v>0</v>
      </c>
      <c r="K106" s="251">
        <v>0</v>
      </c>
      <c r="L106" s="310">
        <f t="shared" si="26"/>
        <v>0</v>
      </c>
      <c r="M106" s="297">
        <f t="shared" si="27"/>
        <v>2800000</v>
      </c>
      <c r="N106" s="290"/>
      <c r="O106" s="251">
        <v>0</v>
      </c>
      <c r="P106" s="251">
        <v>0</v>
      </c>
      <c r="Q106" s="310">
        <f t="shared" si="28"/>
        <v>0</v>
      </c>
      <c r="R106" s="355"/>
      <c r="S106" s="251">
        <v>0</v>
      </c>
      <c r="T106" s="251">
        <v>0</v>
      </c>
      <c r="U106" s="310">
        <f t="shared" si="29"/>
        <v>0</v>
      </c>
      <c r="V106" s="297">
        <f t="shared" si="35"/>
        <v>0</v>
      </c>
      <c r="W106" s="290"/>
      <c r="X106" s="251">
        <v>0</v>
      </c>
      <c r="Y106" s="251">
        <v>0</v>
      </c>
      <c r="Z106" s="310">
        <f t="shared" si="36"/>
        <v>0</v>
      </c>
      <c r="AA106" s="321"/>
      <c r="AB106" s="251">
        <v>0</v>
      </c>
      <c r="AC106" s="251">
        <v>0</v>
      </c>
      <c r="AD106" s="310">
        <f t="shared" si="37"/>
        <v>0</v>
      </c>
      <c r="AE106" s="297">
        <f t="shared" si="38"/>
        <v>0</v>
      </c>
      <c r="AF106" s="290"/>
      <c r="AG106" s="334">
        <f t="shared" si="39"/>
        <v>2800000</v>
      </c>
    </row>
    <row r="107" spans="1:33" s="236" customFormat="1" ht="15" customHeight="1">
      <c r="A107" s="239" t="s">
        <v>1156</v>
      </c>
      <c r="B107" s="252" t="s">
        <v>165</v>
      </c>
      <c r="C107" s="252" t="s">
        <v>166</v>
      </c>
      <c r="D107" s="251">
        <v>0</v>
      </c>
      <c r="E107" s="251">
        <v>0</v>
      </c>
      <c r="F107" s="251">
        <f t="shared" si="24"/>
        <v>0</v>
      </c>
      <c r="G107" s="251">
        <v>0</v>
      </c>
      <c r="H107" s="310">
        <f t="shared" si="25"/>
        <v>0</v>
      </c>
      <c r="I107" s="290"/>
      <c r="J107" s="251">
        <v>0</v>
      </c>
      <c r="K107" s="251">
        <v>0</v>
      </c>
      <c r="L107" s="310">
        <f t="shared" si="26"/>
        <v>0</v>
      </c>
      <c r="M107" s="297">
        <f t="shared" si="27"/>
        <v>0</v>
      </c>
      <c r="N107" s="290"/>
      <c r="O107" s="251">
        <v>0</v>
      </c>
      <c r="P107" s="251">
        <v>0</v>
      </c>
      <c r="Q107" s="310">
        <f t="shared" si="28"/>
        <v>0</v>
      </c>
      <c r="R107" s="355"/>
      <c r="S107" s="251">
        <v>0</v>
      </c>
      <c r="T107" s="251">
        <v>0</v>
      </c>
      <c r="U107" s="310">
        <f t="shared" si="29"/>
        <v>0</v>
      </c>
      <c r="V107" s="297">
        <f t="shared" si="35"/>
        <v>0</v>
      </c>
      <c r="W107" s="290"/>
      <c r="X107" s="251">
        <v>4540000</v>
      </c>
      <c r="Y107" s="251">
        <v>0</v>
      </c>
      <c r="Z107" s="310">
        <f t="shared" si="36"/>
        <v>4540000</v>
      </c>
      <c r="AA107" s="321"/>
      <c r="AB107" s="251">
        <v>4890000</v>
      </c>
      <c r="AC107" s="251">
        <v>0</v>
      </c>
      <c r="AD107" s="310">
        <f t="shared" si="37"/>
        <v>4890000</v>
      </c>
      <c r="AE107" s="297">
        <f t="shared" si="38"/>
        <v>9430000</v>
      </c>
      <c r="AF107" s="290"/>
      <c r="AG107" s="334">
        <f t="shared" si="39"/>
        <v>9430000</v>
      </c>
    </row>
    <row r="108" spans="1:33" s="236" customFormat="1" ht="15" customHeight="1">
      <c r="A108" s="239" t="s">
        <v>1157</v>
      </c>
      <c r="B108" s="250" t="s">
        <v>167</v>
      </c>
      <c r="C108" s="250" t="s">
        <v>168</v>
      </c>
      <c r="D108" s="251">
        <v>0</v>
      </c>
      <c r="E108" s="251">
        <v>0</v>
      </c>
      <c r="F108" s="251">
        <f t="shared" si="24"/>
        <v>0</v>
      </c>
      <c r="G108" s="251">
        <v>0</v>
      </c>
      <c r="H108" s="310">
        <f t="shared" si="25"/>
        <v>0</v>
      </c>
      <c r="I108" s="290"/>
      <c r="J108" s="251">
        <v>0</v>
      </c>
      <c r="K108" s="251">
        <v>0</v>
      </c>
      <c r="L108" s="310">
        <f t="shared" si="26"/>
        <v>0</v>
      </c>
      <c r="M108" s="297">
        <f t="shared" si="27"/>
        <v>0</v>
      </c>
      <c r="N108" s="290"/>
      <c r="O108" s="251">
        <v>0</v>
      </c>
      <c r="P108" s="251">
        <v>0</v>
      </c>
      <c r="Q108" s="310">
        <f t="shared" si="28"/>
        <v>0</v>
      </c>
      <c r="R108" s="355"/>
      <c r="S108" s="251">
        <v>0</v>
      </c>
      <c r="T108" s="251">
        <v>0</v>
      </c>
      <c r="U108" s="310">
        <f t="shared" si="29"/>
        <v>0</v>
      </c>
      <c r="V108" s="297">
        <f t="shared" si="35"/>
        <v>0</v>
      </c>
      <c r="W108" s="290"/>
      <c r="X108" s="251">
        <v>912000</v>
      </c>
      <c r="Y108" s="251">
        <v>0</v>
      </c>
      <c r="Z108" s="310">
        <f t="shared" si="36"/>
        <v>912000</v>
      </c>
      <c r="AA108" s="321"/>
      <c r="AB108" s="251">
        <v>0</v>
      </c>
      <c r="AC108" s="251">
        <v>0</v>
      </c>
      <c r="AD108" s="310">
        <f t="shared" si="37"/>
        <v>0</v>
      </c>
      <c r="AE108" s="297">
        <f t="shared" si="38"/>
        <v>912000</v>
      </c>
      <c r="AF108" s="290"/>
      <c r="AG108" s="334">
        <f t="shared" si="39"/>
        <v>912000</v>
      </c>
    </row>
    <row r="109" spans="1:33" s="236" customFormat="1" ht="15" customHeight="1">
      <c r="A109" s="239" t="s">
        <v>1158</v>
      </c>
      <c r="B109" s="250" t="s">
        <v>169</v>
      </c>
      <c r="C109" s="250" t="s">
        <v>170</v>
      </c>
      <c r="D109" s="251">
        <v>0</v>
      </c>
      <c r="E109" s="251">
        <v>0</v>
      </c>
      <c r="F109" s="251">
        <f t="shared" si="24"/>
        <v>0</v>
      </c>
      <c r="G109" s="251">
        <v>0</v>
      </c>
      <c r="H109" s="310">
        <f t="shared" si="25"/>
        <v>0</v>
      </c>
      <c r="I109" s="290"/>
      <c r="J109" s="251">
        <v>0</v>
      </c>
      <c r="K109" s="251">
        <v>0</v>
      </c>
      <c r="L109" s="310">
        <f t="shared" si="26"/>
        <v>0</v>
      </c>
      <c r="M109" s="297">
        <f t="shared" si="27"/>
        <v>0</v>
      </c>
      <c r="N109" s="290"/>
      <c r="O109" s="251">
        <v>84000</v>
      </c>
      <c r="P109" s="251">
        <v>0</v>
      </c>
      <c r="Q109" s="310">
        <f t="shared" si="28"/>
        <v>84000</v>
      </c>
      <c r="R109" s="355"/>
      <c r="S109" s="251">
        <v>0</v>
      </c>
      <c r="T109" s="251">
        <v>0</v>
      </c>
      <c r="U109" s="310">
        <f t="shared" si="29"/>
        <v>0</v>
      </c>
      <c r="V109" s="297">
        <f t="shared" si="35"/>
        <v>84000</v>
      </c>
      <c r="W109" s="290"/>
      <c r="X109" s="251">
        <v>0</v>
      </c>
      <c r="Y109" s="251">
        <v>0</v>
      </c>
      <c r="Z109" s="310">
        <f t="shared" si="36"/>
        <v>0</v>
      </c>
      <c r="AA109" s="321"/>
      <c r="AB109" s="251">
        <v>0</v>
      </c>
      <c r="AC109" s="251">
        <v>0</v>
      </c>
      <c r="AD109" s="310">
        <f t="shared" si="37"/>
        <v>0</v>
      </c>
      <c r="AE109" s="297">
        <f t="shared" si="38"/>
        <v>0</v>
      </c>
      <c r="AF109" s="290"/>
      <c r="AG109" s="334">
        <f t="shared" si="39"/>
        <v>84000</v>
      </c>
    </row>
    <row r="110" spans="1:33" s="236" customFormat="1" ht="15" customHeight="1" hidden="1">
      <c r="A110" s="239" t="s">
        <v>1159</v>
      </c>
      <c r="B110" s="252" t="s">
        <v>171</v>
      </c>
      <c r="C110" s="252" t="s">
        <v>362</v>
      </c>
      <c r="D110" s="251">
        <v>0</v>
      </c>
      <c r="E110" s="251">
        <v>0</v>
      </c>
      <c r="F110" s="251">
        <f t="shared" si="24"/>
        <v>0</v>
      </c>
      <c r="G110" s="251">
        <v>0</v>
      </c>
      <c r="H110" s="310">
        <f t="shared" si="25"/>
        <v>0</v>
      </c>
      <c r="I110" s="290"/>
      <c r="J110" s="251">
        <v>0</v>
      </c>
      <c r="K110" s="251">
        <v>0</v>
      </c>
      <c r="L110" s="310">
        <f t="shared" si="26"/>
        <v>0</v>
      </c>
      <c r="M110" s="297">
        <f t="shared" si="27"/>
        <v>0</v>
      </c>
      <c r="N110" s="290"/>
      <c r="O110" s="251">
        <v>0</v>
      </c>
      <c r="P110" s="251">
        <v>0</v>
      </c>
      <c r="Q110" s="310">
        <f t="shared" si="28"/>
        <v>0</v>
      </c>
      <c r="R110" s="355"/>
      <c r="S110" s="251">
        <v>0</v>
      </c>
      <c r="T110" s="251">
        <v>0</v>
      </c>
      <c r="U110" s="310">
        <f t="shared" si="29"/>
        <v>0</v>
      </c>
      <c r="V110" s="297">
        <f t="shared" si="35"/>
        <v>0</v>
      </c>
      <c r="W110" s="290"/>
      <c r="X110" s="251">
        <v>0</v>
      </c>
      <c r="Y110" s="251">
        <v>0</v>
      </c>
      <c r="Z110" s="310">
        <f t="shared" si="36"/>
        <v>0</v>
      </c>
      <c r="AA110" s="321"/>
      <c r="AB110" s="251">
        <v>0</v>
      </c>
      <c r="AC110" s="251">
        <v>0</v>
      </c>
      <c r="AD110" s="310">
        <f t="shared" si="37"/>
        <v>0</v>
      </c>
      <c r="AE110" s="297">
        <f t="shared" si="38"/>
        <v>0</v>
      </c>
      <c r="AF110" s="290"/>
      <c r="AG110" s="334">
        <f t="shared" si="39"/>
        <v>0</v>
      </c>
    </row>
    <row r="111" spans="1:33" s="674" customFormat="1" ht="15" customHeight="1">
      <c r="A111" s="665" t="s">
        <v>1160</v>
      </c>
      <c r="B111" s="666" t="s">
        <v>172</v>
      </c>
      <c r="C111" s="666" t="s">
        <v>173</v>
      </c>
      <c r="D111" s="667">
        <v>96000</v>
      </c>
      <c r="E111" s="667">
        <v>0</v>
      </c>
      <c r="F111" s="667">
        <f t="shared" si="24"/>
        <v>96000</v>
      </c>
      <c r="G111" s="667">
        <v>0</v>
      </c>
      <c r="H111" s="668">
        <f t="shared" si="25"/>
        <v>96000</v>
      </c>
      <c r="I111" s="669"/>
      <c r="J111" s="667">
        <v>300000</v>
      </c>
      <c r="K111" s="667">
        <v>0</v>
      </c>
      <c r="L111" s="668">
        <f t="shared" si="26"/>
        <v>300000</v>
      </c>
      <c r="M111" s="670">
        <f t="shared" si="27"/>
        <v>396000</v>
      </c>
      <c r="N111" s="669"/>
      <c r="O111" s="667">
        <v>0</v>
      </c>
      <c r="P111" s="667">
        <v>0</v>
      </c>
      <c r="Q111" s="668">
        <f t="shared" si="28"/>
        <v>0</v>
      </c>
      <c r="R111" s="671"/>
      <c r="S111" s="667">
        <v>0</v>
      </c>
      <c r="T111" s="667">
        <v>0</v>
      </c>
      <c r="U111" s="668">
        <f t="shared" si="29"/>
        <v>0</v>
      </c>
      <c r="V111" s="670">
        <f t="shared" si="35"/>
        <v>0</v>
      </c>
      <c r="W111" s="669"/>
      <c r="X111" s="667">
        <v>260000</v>
      </c>
      <c r="Y111" s="667">
        <v>0</v>
      </c>
      <c r="Z111" s="668">
        <f t="shared" si="36"/>
        <v>260000</v>
      </c>
      <c r="AA111" s="672"/>
      <c r="AB111" s="667">
        <v>0</v>
      </c>
      <c r="AC111" s="667">
        <v>0</v>
      </c>
      <c r="AD111" s="668">
        <f t="shared" si="37"/>
        <v>0</v>
      </c>
      <c r="AE111" s="670">
        <f t="shared" si="38"/>
        <v>260000</v>
      </c>
      <c r="AF111" s="669"/>
      <c r="AG111" s="673">
        <f t="shared" si="39"/>
        <v>656000</v>
      </c>
    </row>
    <row r="112" spans="1:33" s="674" customFormat="1" ht="15" customHeight="1">
      <c r="A112" s="665" t="s">
        <v>1161</v>
      </c>
      <c r="B112" s="675" t="s">
        <v>174</v>
      </c>
      <c r="C112" s="675" t="s">
        <v>175</v>
      </c>
      <c r="D112" s="667">
        <v>624000</v>
      </c>
      <c r="E112" s="667">
        <v>0</v>
      </c>
      <c r="F112" s="667">
        <f t="shared" si="24"/>
        <v>624000</v>
      </c>
      <c r="G112" s="667">
        <v>0</v>
      </c>
      <c r="H112" s="668">
        <f t="shared" si="25"/>
        <v>624000</v>
      </c>
      <c r="I112" s="669"/>
      <c r="J112" s="667">
        <v>0</v>
      </c>
      <c r="K112" s="667">
        <v>0</v>
      </c>
      <c r="L112" s="668">
        <f t="shared" si="26"/>
        <v>0</v>
      </c>
      <c r="M112" s="670">
        <f t="shared" si="27"/>
        <v>624000</v>
      </c>
      <c r="N112" s="669"/>
      <c r="O112" s="667">
        <v>0</v>
      </c>
      <c r="P112" s="667">
        <v>0</v>
      </c>
      <c r="Q112" s="668">
        <f t="shared" si="28"/>
        <v>0</v>
      </c>
      <c r="R112" s="671"/>
      <c r="S112" s="667">
        <v>0</v>
      </c>
      <c r="T112" s="667">
        <v>0</v>
      </c>
      <c r="U112" s="668">
        <f t="shared" si="29"/>
        <v>0</v>
      </c>
      <c r="V112" s="670">
        <f t="shared" si="35"/>
        <v>0</v>
      </c>
      <c r="W112" s="669"/>
      <c r="X112" s="667">
        <v>936000</v>
      </c>
      <c r="Y112" s="667">
        <v>0</v>
      </c>
      <c r="Z112" s="668">
        <f t="shared" si="36"/>
        <v>936000</v>
      </c>
      <c r="AA112" s="672"/>
      <c r="AB112" s="667">
        <v>0</v>
      </c>
      <c r="AC112" s="667">
        <v>0</v>
      </c>
      <c r="AD112" s="668">
        <f t="shared" si="37"/>
        <v>0</v>
      </c>
      <c r="AE112" s="670">
        <f t="shared" si="38"/>
        <v>936000</v>
      </c>
      <c r="AF112" s="669"/>
      <c r="AG112" s="673">
        <f t="shared" si="39"/>
        <v>1560000</v>
      </c>
    </row>
    <row r="113" spans="1:33" s="10" customFormat="1" ht="15" customHeight="1">
      <c r="A113" s="239" t="s">
        <v>1162</v>
      </c>
      <c r="B113" s="254" t="s">
        <v>433</v>
      </c>
      <c r="C113" s="254" t="s">
        <v>1074</v>
      </c>
      <c r="D113" s="255">
        <f>+D103+D97+D92+D86+D79</f>
        <v>15580000</v>
      </c>
      <c r="E113" s="255">
        <f>E103+E97+E92+E86+E79</f>
        <v>4840000</v>
      </c>
      <c r="F113" s="255">
        <f t="shared" si="24"/>
        <v>20420000</v>
      </c>
      <c r="G113" s="255">
        <f>G103+G97+G92+G86+G79</f>
        <v>0</v>
      </c>
      <c r="H113" s="309">
        <f t="shared" si="25"/>
        <v>20420000</v>
      </c>
      <c r="I113" s="289"/>
      <c r="J113" s="255">
        <f>J112+J103+J97+J92+J86+J79</f>
        <v>31485000</v>
      </c>
      <c r="K113" s="255">
        <f>K103+K97+K92+K86+K79</f>
        <v>0</v>
      </c>
      <c r="L113" s="309">
        <f t="shared" si="26"/>
        <v>31485000</v>
      </c>
      <c r="M113" s="266">
        <f t="shared" si="27"/>
        <v>51905000</v>
      </c>
      <c r="N113" s="289"/>
      <c r="O113" s="255">
        <f>+O103+O97+O92+O86+O79</f>
        <v>11531000</v>
      </c>
      <c r="P113" s="255">
        <f>+P103+P97+P92+P86+P79</f>
        <v>0</v>
      </c>
      <c r="Q113" s="309">
        <f t="shared" si="28"/>
        <v>11531000</v>
      </c>
      <c r="R113" s="354"/>
      <c r="S113" s="255">
        <f>+S103+S97+S92+S86+S79</f>
        <v>4301000</v>
      </c>
      <c r="T113" s="255">
        <f>+T103+T97+T92+T86+T79</f>
        <v>0</v>
      </c>
      <c r="U113" s="309">
        <f t="shared" si="29"/>
        <v>4301000</v>
      </c>
      <c r="V113" s="266">
        <f t="shared" si="35"/>
        <v>15832000</v>
      </c>
      <c r="W113" s="289"/>
      <c r="X113" s="255">
        <f>+X103+X97+X92+X86+X79</f>
        <v>58408000</v>
      </c>
      <c r="Y113" s="255">
        <f>+Y103+Y97+Y92+Y86+Y79</f>
        <v>0</v>
      </c>
      <c r="Z113" s="309">
        <f t="shared" si="36"/>
        <v>58408000</v>
      </c>
      <c r="AA113" s="320"/>
      <c r="AB113" s="255">
        <f>+AB103+AB97+AB92+AB86+AB79</f>
        <v>83300000</v>
      </c>
      <c r="AC113" s="255">
        <f>+AC103+AC97+AC92+AC86+AC79</f>
        <v>0</v>
      </c>
      <c r="AD113" s="309">
        <f t="shared" si="37"/>
        <v>83300000</v>
      </c>
      <c r="AE113" s="266">
        <f t="shared" si="38"/>
        <v>141708000</v>
      </c>
      <c r="AF113" s="289">
        <f>AF112+AF103+AF97+AF92+AF86+AF79</f>
        <v>0</v>
      </c>
      <c r="AG113" s="285">
        <f>AG112+AG103+AG97+AG92+AG86+AG79</f>
        <v>211005000</v>
      </c>
    </row>
    <row r="114" spans="1:33" s="5" customFormat="1" ht="8.25" customHeight="1">
      <c r="A114" s="239" t="s">
        <v>1163</v>
      </c>
      <c r="B114" s="278"/>
      <c r="C114" s="278"/>
      <c r="D114" s="279"/>
      <c r="E114" s="279"/>
      <c r="F114" s="279"/>
      <c r="G114" s="279"/>
      <c r="H114" s="279"/>
      <c r="I114" s="292"/>
      <c r="J114" s="279"/>
      <c r="K114" s="279"/>
      <c r="L114" s="279"/>
      <c r="M114" s="279"/>
      <c r="N114" s="292"/>
      <c r="O114" s="279"/>
      <c r="P114" s="279"/>
      <c r="Q114" s="279"/>
      <c r="R114" s="353"/>
      <c r="S114" s="279"/>
      <c r="T114" s="279"/>
      <c r="U114" s="279"/>
      <c r="V114" s="279"/>
      <c r="W114" s="292"/>
      <c r="X114" s="279"/>
      <c r="Y114" s="279"/>
      <c r="Z114" s="279"/>
      <c r="AA114" s="323"/>
      <c r="AB114" s="279"/>
      <c r="AC114" s="279"/>
      <c r="AD114" s="279"/>
      <c r="AE114" s="279"/>
      <c r="AF114" s="292"/>
      <c r="AG114" s="279"/>
    </row>
    <row r="115" spans="1:33" ht="15" customHeight="1">
      <c r="A115" s="239" t="s">
        <v>1164</v>
      </c>
      <c r="B115" s="263" t="s">
        <v>6</v>
      </c>
      <c r="C115" s="263" t="s">
        <v>7</v>
      </c>
      <c r="D115" s="264">
        <v>3076000</v>
      </c>
      <c r="E115" s="264">
        <v>846999.9999999999</v>
      </c>
      <c r="F115" s="264">
        <f t="shared" si="24"/>
        <v>3923000</v>
      </c>
      <c r="G115" s="264">
        <v>0</v>
      </c>
      <c r="H115" s="312">
        <f t="shared" si="25"/>
        <v>3923000</v>
      </c>
      <c r="I115" s="292"/>
      <c r="J115" s="264">
        <v>5520000</v>
      </c>
      <c r="K115" s="264">
        <v>0</v>
      </c>
      <c r="L115" s="312">
        <f t="shared" si="26"/>
        <v>5520000</v>
      </c>
      <c r="M115" s="299">
        <f t="shared" si="27"/>
        <v>9443000</v>
      </c>
      <c r="N115" s="292"/>
      <c r="O115" s="264">
        <v>2022000</v>
      </c>
      <c r="P115" s="264">
        <v>0</v>
      </c>
      <c r="Q115" s="312">
        <f t="shared" si="28"/>
        <v>2022000</v>
      </c>
      <c r="R115" s="353"/>
      <c r="S115" s="264">
        <v>782000</v>
      </c>
      <c r="T115" s="264">
        <f>(T79+T97+T103+T104+T105)*0.27</f>
        <v>0</v>
      </c>
      <c r="U115" s="312">
        <f t="shared" si="29"/>
        <v>782000</v>
      </c>
      <c r="V115" s="299">
        <f aca="true" t="shared" si="40" ref="V115:V120">Q115+U115</f>
        <v>2804000</v>
      </c>
      <c r="W115" s="292"/>
      <c r="X115" s="264">
        <f>10326520+480</f>
        <v>10327000</v>
      </c>
      <c r="Y115" s="264">
        <v>0</v>
      </c>
      <c r="Z115" s="312">
        <f>SUM(X115:Y115)</f>
        <v>10327000</v>
      </c>
      <c r="AA115" s="323"/>
      <c r="AB115" s="264">
        <f>14141990+10</f>
        <v>14142000</v>
      </c>
      <c r="AC115" s="264">
        <f>(AC79+AC97+AC103+AC104+AC105)*0.27</f>
        <v>0</v>
      </c>
      <c r="AD115" s="312">
        <f>SUM(AB115:AC115)</f>
        <v>14142000</v>
      </c>
      <c r="AE115" s="299">
        <f aca="true" t="shared" si="41" ref="AE115:AE120">Z115+AD115</f>
        <v>24469000</v>
      </c>
      <c r="AF115" s="292"/>
      <c r="AG115" s="336">
        <f aca="true" t="shared" si="42" ref="AG115:AG120">M115+V115+AE115</f>
        <v>36716000</v>
      </c>
    </row>
    <row r="116" spans="1:33" ht="15" customHeight="1" hidden="1">
      <c r="A116" s="239" t="s">
        <v>1165</v>
      </c>
      <c r="B116" s="261" t="s">
        <v>8</v>
      </c>
      <c r="C116" s="261" t="s">
        <v>9</v>
      </c>
      <c r="D116" s="262">
        <v>0</v>
      </c>
      <c r="E116" s="262">
        <v>0</v>
      </c>
      <c r="F116" s="262">
        <f t="shared" si="24"/>
        <v>0</v>
      </c>
      <c r="G116" s="262">
        <v>0</v>
      </c>
      <c r="H116" s="312">
        <f t="shared" si="25"/>
        <v>0</v>
      </c>
      <c r="I116" s="292"/>
      <c r="J116" s="262">
        <v>0</v>
      </c>
      <c r="K116" s="262">
        <v>0</v>
      </c>
      <c r="L116" s="312">
        <f t="shared" si="26"/>
        <v>0</v>
      </c>
      <c r="M116" s="299">
        <f t="shared" si="27"/>
        <v>0</v>
      </c>
      <c r="N116" s="292"/>
      <c r="O116" s="262">
        <v>0</v>
      </c>
      <c r="P116" s="262">
        <v>0</v>
      </c>
      <c r="Q116" s="312">
        <f t="shared" si="28"/>
        <v>0</v>
      </c>
      <c r="R116" s="353"/>
      <c r="S116" s="262">
        <v>0</v>
      </c>
      <c r="T116" s="262">
        <f>(T86+T93+T94)*1.19*0.14</f>
        <v>0</v>
      </c>
      <c r="U116" s="312">
        <f t="shared" si="29"/>
        <v>0</v>
      </c>
      <c r="V116" s="299">
        <f t="shared" si="40"/>
        <v>0</v>
      </c>
      <c r="W116" s="292"/>
      <c r="X116" s="262">
        <v>0</v>
      </c>
      <c r="Y116" s="262">
        <f>(Y86+Y93+Y94)*1.19*0.14</f>
        <v>0</v>
      </c>
      <c r="Z116" s="312">
        <f>SUM(X116:Y116)</f>
        <v>0</v>
      </c>
      <c r="AA116" s="323"/>
      <c r="AB116" s="262">
        <v>0</v>
      </c>
      <c r="AC116" s="262">
        <f>(AC86+AC93+AC94)*1.19*0.14</f>
        <v>0</v>
      </c>
      <c r="AD116" s="312">
        <f>SUM(AB116:AC116)</f>
        <v>0</v>
      </c>
      <c r="AE116" s="299">
        <f t="shared" si="41"/>
        <v>0</v>
      </c>
      <c r="AF116" s="292"/>
      <c r="AG116" s="336">
        <f t="shared" si="42"/>
        <v>0</v>
      </c>
    </row>
    <row r="117" spans="1:33" ht="15" customHeight="1" hidden="1">
      <c r="A117" s="239" t="s">
        <v>1315</v>
      </c>
      <c r="B117" s="263" t="s">
        <v>176</v>
      </c>
      <c r="C117" s="263" t="s">
        <v>177</v>
      </c>
      <c r="D117" s="264">
        <v>0</v>
      </c>
      <c r="E117" s="264">
        <v>0</v>
      </c>
      <c r="F117" s="264">
        <f t="shared" si="24"/>
        <v>0</v>
      </c>
      <c r="G117" s="264">
        <v>0</v>
      </c>
      <c r="H117" s="312">
        <f t="shared" si="25"/>
        <v>0</v>
      </c>
      <c r="I117" s="292"/>
      <c r="J117" s="264">
        <v>0</v>
      </c>
      <c r="K117" s="264">
        <v>0</v>
      </c>
      <c r="L117" s="312">
        <f t="shared" si="26"/>
        <v>0</v>
      </c>
      <c r="M117" s="299">
        <f t="shared" si="27"/>
        <v>0</v>
      </c>
      <c r="N117" s="292"/>
      <c r="O117" s="264">
        <v>0</v>
      </c>
      <c r="P117" s="264">
        <v>0</v>
      </c>
      <c r="Q117" s="312">
        <f t="shared" si="28"/>
        <v>0</v>
      </c>
      <c r="R117" s="353"/>
      <c r="S117" s="264">
        <v>0</v>
      </c>
      <c r="T117" s="264">
        <v>0</v>
      </c>
      <c r="U117" s="312">
        <f t="shared" si="29"/>
        <v>0</v>
      </c>
      <c r="V117" s="299">
        <f t="shared" si="40"/>
        <v>0</v>
      </c>
      <c r="W117" s="292"/>
      <c r="X117" s="264">
        <v>0</v>
      </c>
      <c r="Y117" s="264">
        <v>0</v>
      </c>
      <c r="Z117" s="312">
        <f>SUM(X117:Y117)</f>
        <v>0</v>
      </c>
      <c r="AA117" s="323"/>
      <c r="AB117" s="264">
        <v>0</v>
      </c>
      <c r="AC117" s="264">
        <v>0</v>
      </c>
      <c r="AD117" s="312">
        <f>SUM(AB117:AC117)</f>
        <v>0</v>
      </c>
      <c r="AE117" s="299">
        <f t="shared" si="41"/>
        <v>0</v>
      </c>
      <c r="AF117" s="292"/>
      <c r="AG117" s="336">
        <f t="shared" si="42"/>
        <v>0</v>
      </c>
    </row>
    <row r="118" spans="1:33" ht="15" customHeight="1">
      <c r="A118" s="239" t="s">
        <v>1166</v>
      </c>
      <c r="B118" s="263" t="s">
        <v>10</v>
      </c>
      <c r="C118" s="263" t="s">
        <v>11</v>
      </c>
      <c r="D118" s="264">
        <v>121000</v>
      </c>
      <c r="E118" s="264">
        <v>87000</v>
      </c>
      <c r="F118" s="264">
        <f t="shared" si="24"/>
        <v>208000</v>
      </c>
      <c r="G118" s="264">
        <v>0</v>
      </c>
      <c r="H118" s="312">
        <f t="shared" si="25"/>
        <v>208000</v>
      </c>
      <c r="I118" s="292"/>
      <c r="J118" s="264">
        <v>290000</v>
      </c>
      <c r="K118" s="264">
        <v>0</v>
      </c>
      <c r="L118" s="312">
        <f t="shared" si="26"/>
        <v>290000</v>
      </c>
      <c r="M118" s="299">
        <f t="shared" si="27"/>
        <v>498000</v>
      </c>
      <c r="N118" s="292"/>
      <c r="O118" s="264">
        <v>60000</v>
      </c>
      <c r="P118" s="264">
        <v>0</v>
      </c>
      <c r="Q118" s="312">
        <f t="shared" si="28"/>
        <v>60000</v>
      </c>
      <c r="R118" s="353"/>
      <c r="S118" s="264">
        <v>55000</v>
      </c>
      <c r="T118" s="264">
        <f>(T86+T93+T94)*1.19*0.15</f>
        <v>0</v>
      </c>
      <c r="U118" s="312">
        <f t="shared" si="29"/>
        <v>55000</v>
      </c>
      <c r="V118" s="299">
        <f t="shared" si="40"/>
        <v>115000</v>
      </c>
      <c r="W118" s="292"/>
      <c r="X118" s="264">
        <f>990240-240</f>
        <v>990000</v>
      </c>
      <c r="Y118" s="264">
        <f>(Y86+Y93+Y94)*1.19*0.15</f>
        <v>0</v>
      </c>
      <c r="Z118" s="312">
        <f>SUM(X118:Y118)</f>
        <v>990000</v>
      </c>
      <c r="AA118" s="323"/>
      <c r="AB118" s="264">
        <v>354000</v>
      </c>
      <c r="AC118" s="264">
        <f>(AC86+AC93+AC94)*1.19*0.15</f>
        <v>0</v>
      </c>
      <c r="AD118" s="312">
        <f>SUM(AB118:AC118)</f>
        <v>354000</v>
      </c>
      <c r="AE118" s="299">
        <f t="shared" si="41"/>
        <v>1344000</v>
      </c>
      <c r="AF118" s="292"/>
      <c r="AG118" s="336">
        <f t="shared" si="42"/>
        <v>1957000</v>
      </c>
    </row>
    <row r="119" spans="1:33" s="10" customFormat="1" ht="15" customHeight="1">
      <c r="A119" s="239" t="s">
        <v>1167</v>
      </c>
      <c r="B119" s="247" t="s">
        <v>436</v>
      </c>
      <c r="C119" s="247" t="s">
        <v>1075</v>
      </c>
      <c r="D119" s="281">
        <f>SUM(D115:D118)</f>
        <v>3197000</v>
      </c>
      <c r="E119" s="281">
        <f>SUM(E115:E118)</f>
        <v>933999.9999999999</v>
      </c>
      <c r="F119" s="281">
        <f t="shared" si="24"/>
        <v>4131000</v>
      </c>
      <c r="G119" s="281">
        <f>SUM(G115:G118)</f>
        <v>0</v>
      </c>
      <c r="H119" s="314">
        <f t="shared" si="25"/>
        <v>4131000</v>
      </c>
      <c r="I119" s="295"/>
      <c r="J119" s="281">
        <f>SUM(J115:J118)</f>
        <v>5810000</v>
      </c>
      <c r="K119" s="281">
        <f>SUM(K115:K118)</f>
        <v>0</v>
      </c>
      <c r="L119" s="314">
        <f t="shared" si="26"/>
        <v>5810000</v>
      </c>
      <c r="M119" s="302">
        <f t="shared" si="27"/>
        <v>9941000</v>
      </c>
      <c r="N119" s="295"/>
      <c r="O119" s="281">
        <f>SUM(O115:O118)</f>
        <v>2082000</v>
      </c>
      <c r="P119" s="281">
        <f>SUM(P115:P118)</f>
        <v>0</v>
      </c>
      <c r="Q119" s="314">
        <f t="shared" si="28"/>
        <v>2082000</v>
      </c>
      <c r="R119" s="357"/>
      <c r="S119" s="281">
        <f>SUM(S115:S118)</f>
        <v>837000</v>
      </c>
      <c r="T119" s="281">
        <f>SUM(T115:T118)</f>
        <v>0</v>
      </c>
      <c r="U119" s="314">
        <f t="shared" si="29"/>
        <v>837000</v>
      </c>
      <c r="V119" s="302">
        <f t="shared" si="40"/>
        <v>2919000</v>
      </c>
      <c r="W119" s="295"/>
      <c r="X119" s="281">
        <f>SUM(X115:X118)</f>
        <v>11317000</v>
      </c>
      <c r="Y119" s="281">
        <f>SUM(Y115:Y118)</f>
        <v>0</v>
      </c>
      <c r="Z119" s="314">
        <f>SUM(X119:Y119)</f>
        <v>11317000</v>
      </c>
      <c r="AA119" s="326"/>
      <c r="AB119" s="281">
        <f>SUM(AB115:AB118)</f>
        <v>14496000</v>
      </c>
      <c r="AC119" s="281">
        <f>SUM(AC115:AC118)</f>
        <v>0</v>
      </c>
      <c r="AD119" s="314">
        <f>SUM(AB119:AC119)</f>
        <v>14496000</v>
      </c>
      <c r="AE119" s="302">
        <f t="shared" si="41"/>
        <v>25813000</v>
      </c>
      <c r="AF119" s="295"/>
      <c r="AG119" s="283">
        <f t="shared" si="42"/>
        <v>38673000</v>
      </c>
    </row>
    <row r="120" spans="1:33" s="10" customFormat="1" ht="15" customHeight="1">
      <c r="A120" s="239" t="s">
        <v>1168</v>
      </c>
      <c r="B120" s="282" t="s">
        <v>925</v>
      </c>
      <c r="C120" s="282" t="s">
        <v>178</v>
      </c>
      <c r="D120" s="283">
        <f>D119+D113</f>
        <v>18777000</v>
      </c>
      <c r="E120" s="283">
        <f>E119+E113</f>
        <v>5774000</v>
      </c>
      <c r="F120" s="283">
        <f>F119+F113</f>
        <v>24551000</v>
      </c>
      <c r="G120" s="283">
        <f>G119+G113</f>
        <v>0</v>
      </c>
      <c r="H120" s="283">
        <f t="shared" si="25"/>
        <v>24551000</v>
      </c>
      <c r="I120" s="295"/>
      <c r="J120" s="283">
        <f>J119+J113</f>
        <v>37295000</v>
      </c>
      <c r="K120" s="283">
        <f>K119+K113</f>
        <v>0</v>
      </c>
      <c r="L120" s="283">
        <f>L119+L113</f>
        <v>37295000</v>
      </c>
      <c r="M120" s="283">
        <f t="shared" si="27"/>
        <v>61846000</v>
      </c>
      <c r="N120" s="295"/>
      <c r="O120" s="283">
        <f>O119+O113</f>
        <v>13613000</v>
      </c>
      <c r="P120" s="283">
        <f>P119+P113</f>
        <v>0</v>
      </c>
      <c r="Q120" s="283">
        <f>Q119+Q113</f>
        <v>13613000</v>
      </c>
      <c r="R120" s="357"/>
      <c r="S120" s="283">
        <f>S119+S113</f>
        <v>5138000</v>
      </c>
      <c r="T120" s="283">
        <f>T119+T113</f>
        <v>0</v>
      </c>
      <c r="U120" s="283">
        <f>U119+U113</f>
        <v>5138000</v>
      </c>
      <c r="V120" s="283">
        <f t="shared" si="40"/>
        <v>18751000</v>
      </c>
      <c r="W120" s="295"/>
      <c r="X120" s="283">
        <f>X119+X113</f>
        <v>69725000</v>
      </c>
      <c r="Y120" s="283">
        <f>Y119+Y113</f>
        <v>0</v>
      </c>
      <c r="Z120" s="314">
        <f>Z119+Z113</f>
        <v>69725000</v>
      </c>
      <c r="AA120" s="326"/>
      <c r="AB120" s="283">
        <f>AB119+AB113</f>
        <v>97796000</v>
      </c>
      <c r="AC120" s="283">
        <f>AC119+AC113</f>
        <v>0</v>
      </c>
      <c r="AD120" s="314">
        <f>AD119+AD113</f>
        <v>97796000</v>
      </c>
      <c r="AE120" s="283">
        <f t="shared" si="41"/>
        <v>167521000</v>
      </c>
      <c r="AF120" s="295">
        <f>AF119+AF113</f>
        <v>0</v>
      </c>
      <c r="AG120" s="283">
        <f t="shared" si="42"/>
        <v>248118000</v>
      </c>
    </row>
    <row r="121" spans="1:33" s="5" customFormat="1" ht="7.5" customHeight="1">
      <c r="A121" s="239" t="s">
        <v>1169</v>
      </c>
      <c r="B121" s="278"/>
      <c r="C121" s="278"/>
      <c r="D121" s="279"/>
      <c r="E121" s="279"/>
      <c r="F121" s="279"/>
      <c r="G121" s="279"/>
      <c r="H121" s="279"/>
      <c r="I121" s="292"/>
      <c r="J121" s="279"/>
      <c r="K121" s="279"/>
      <c r="L121" s="279"/>
      <c r="M121" s="279"/>
      <c r="N121" s="292"/>
      <c r="O121" s="279"/>
      <c r="P121" s="279"/>
      <c r="Q121" s="279"/>
      <c r="R121" s="353"/>
      <c r="S121" s="279"/>
      <c r="T121" s="279"/>
      <c r="U121" s="279"/>
      <c r="V121" s="279"/>
      <c r="W121" s="292"/>
      <c r="X121" s="279"/>
      <c r="Y121" s="279"/>
      <c r="Z121" s="279"/>
      <c r="AA121" s="323"/>
      <c r="AB121" s="279"/>
      <c r="AC121" s="279"/>
      <c r="AD121" s="279"/>
      <c r="AE121" s="279"/>
      <c r="AF121" s="292"/>
      <c r="AG121" s="279"/>
    </row>
    <row r="122" spans="1:33" s="10" customFormat="1" ht="15" customHeight="1">
      <c r="A122" s="239" t="s">
        <v>1170</v>
      </c>
      <c r="B122" s="247" t="s">
        <v>439</v>
      </c>
      <c r="C122" s="247" t="s">
        <v>179</v>
      </c>
      <c r="D122" s="253">
        <f>SUM(D123:D126)</f>
        <v>0</v>
      </c>
      <c r="E122" s="253">
        <f>SUM(E123:E126)</f>
        <v>0</v>
      </c>
      <c r="F122" s="253">
        <f aca="true" t="shared" si="43" ref="F122:F200">SUM(D122:E122)</f>
        <v>0</v>
      </c>
      <c r="G122" s="253">
        <f>SUM(G123:G126)</f>
        <v>0</v>
      </c>
      <c r="H122" s="309">
        <f t="shared" si="25"/>
        <v>0</v>
      </c>
      <c r="I122" s="289"/>
      <c r="J122" s="253">
        <f>SUM(J123:J126)</f>
        <v>41000</v>
      </c>
      <c r="K122" s="253">
        <f>SUM(K123:K126)</f>
        <v>0</v>
      </c>
      <c r="L122" s="309">
        <f aca="true" t="shared" si="44" ref="L122:L200">SUM(J122:K122)</f>
        <v>41000</v>
      </c>
      <c r="M122" s="266">
        <f t="shared" si="27"/>
        <v>41000</v>
      </c>
      <c r="N122" s="289"/>
      <c r="O122" s="253">
        <f>SUM(O123:O126)</f>
        <v>0</v>
      </c>
      <c r="P122" s="253">
        <f>SUM(P123:P126)</f>
        <v>0</v>
      </c>
      <c r="Q122" s="309">
        <f aca="true" t="shared" si="45" ref="Q122:Q200">SUM(O122:P122)</f>
        <v>0</v>
      </c>
      <c r="R122" s="354"/>
      <c r="S122" s="253">
        <f>SUM(S123:S126)</f>
        <v>0</v>
      </c>
      <c r="T122" s="253">
        <f>SUM(T123:T126)</f>
        <v>0</v>
      </c>
      <c r="U122" s="309">
        <f aca="true" t="shared" si="46" ref="U122:U200">SUM(S122:T122)</f>
        <v>0</v>
      </c>
      <c r="V122" s="266">
        <f aca="true" t="shared" si="47" ref="V122:V145">Q122+U122</f>
        <v>0</v>
      </c>
      <c r="W122" s="289"/>
      <c r="X122" s="253">
        <f>SUM(X123:X126)</f>
        <v>700000</v>
      </c>
      <c r="Y122" s="253">
        <f>SUM(Y123:Y126)</f>
        <v>0</v>
      </c>
      <c r="Z122" s="309">
        <f aca="true" t="shared" si="48" ref="Z122:Z145">SUM(X122:Y122)</f>
        <v>700000</v>
      </c>
      <c r="AA122" s="320"/>
      <c r="AB122" s="253">
        <f>SUM(AB123:AB126)</f>
        <v>10000</v>
      </c>
      <c r="AC122" s="253">
        <f>SUM(AC123:AC126)</f>
        <v>0</v>
      </c>
      <c r="AD122" s="660">
        <f aca="true" t="shared" si="49" ref="AD122:AD145">SUM(AB122:AC122)</f>
        <v>10000</v>
      </c>
      <c r="AE122" s="266">
        <f aca="true" t="shared" si="50" ref="AE122:AE153">Z122+AD122</f>
        <v>710000</v>
      </c>
      <c r="AF122" s="289"/>
      <c r="AG122" s="285">
        <f aca="true" t="shared" si="51" ref="AG122:AG145">M122+V122+AE122</f>
        <v>751000</v>
      </c>
    </row>
    <row r="123" spans="1:33" s="236" customFormat="1" ht="15" customHeight="1">
      <c r="A123" s="239" t="s">
        <v>1171</v>
      </c>
      <c r="B123" s="250" t="s">
        <v>180</v>
      </c>
      <c r="C123" s="250" t="s">
        <v>181</v>
      </c>
      <c r="D123" s="273">
        <v>0</v>
      </c>
      <c r="E123" s="273">
        <v>0</v>
      </c>
      <c r="F123" s="273">
        <f t="shared" si="43"/>
        <v>0</v>
      </c>
      <c r="G123" s="273">
        <v>0</v>
      </c>
      <c r="H123" s="310">
        <f t="shared" si="25"/>
        <v>0</v>
      </c>
      <c r="I123" s="290"/>
      <c r="J123" s="273">
        <v>0</v>
      </c>
      <c r="K123" s="273">
        <v>0</v>
      </c>
      <c r="L123" s="310">
        <f t="shared" si="44"/>
        <v>0</v>
      </c>
      <c r="M123" s="297">
        <f t="shared" si="27"/>
        <v>0</v>
      </c>
      <c r="N123" s="290"/>
      <c r="O123" s="273">
        <v>0</v>
      </c>
      <c r="P123" s="273">
        <v>0</v>
      </c>
      <c r="Q123" s="310">
        <f t="shared" si="45"/>
        <v>0</v>
      </c>
      <c r="R123" s="355"/>
      <c r="S123" s="273">
        <v>0</v>
      </c>
      <c r="T123" s="273">
        <v>0</v>
      </c>
      <c r="U123" s="310">
        <f t="shared" si="46"/>
        <v>0</v>
      </c>
      <c r="V123" s="297">
        <f t="shared" si="47"/>
        <v>0</v>
      </c>
      <c r="W123" s="290"/>
      <c r="X123" s="273">
        <v>50000</v>
      </c>
      <c r="Y123" s="273">
        <v>0</v>
      </c>
      <c r="Z123" s="310">
        <f t="shared" si="48"/>
        <v>50000</v>
      </c>
      <c r="AA123" s="321"/>
      <c r="AB123" s="273">
        <v>10000</v>
      </c>
      <c r="AC123" s="273">
        <v>0</v>
      </c>
      <c r="AD123" s="310">
        <f t="shared" si="49"/>
        <v>10000</v>
      </c>
      <c r="AE123" s="297">
        <f t="shared" si="50"/>
        <v>60000</v>
      </c>
      <c r="AF123" s="290"/>
      <c r="AG123" s="334">
        <f t="shared" si="51"/>
        <v>60000</v>
      </c>
    </row>
    <row r="124" spans="1:33" s="236" customFormat="1" ht="15" customHeight="1">
      <c r="A124" s="239" t="s">
        <v>1316</v>
      </c>
      <c r="B124" s="252" t="s">
        <v>182</v>
      </c>
      <c r="C124" s="252" t="s">
        <v>183</v>
      </c>
      <c r="D124" s="251">
        <v>0</v>
      </c>
      <c r="E124" s="251">
        <v>0</v>
      </c>
      <c r="F124" s="251">
        <f t="shared" si="43"/>
        <v>0</v>
      </c>
      <c r="G124" s="251">
        <v>0</v>
      </c>
      <c r="H124" s="310">
        <f t="shared" si="25"/>
        <v>0</v>
      </c>
      <c r="I124" s="290"/>
      <c r="J124" s="251">
        <v>41000</v>
      </c>
      <c r="K124" s="251">
        <v>0</v>
      </c>
      <c r="L124" s="310">
        <f t="shared" si="44"/>
        <v>41000</v>
      </c>
      <c r="M124" s="297">
        <f t="shared" si="27"/>
        <v>41000</v>
      </c>
      <c r="N124" s="290"/>
      <c r="O124" s="251">
        <v>0</v>
      </c>
      <c r="P124" s="251">
        <v>0</v>
      </c>
      <c r="Q124" s="310">
        <f t="shared" si="45"/>
        <v>0</v>
      </c>
      <c r="R124" s="355"/>
      <c r="S124" s="251">
        <v>0</v>
      </c>
      <c r="T124" s="251">
        <v>0</v>
      </c>
      <c r="U124" s="310">
        <f t="shared" si="46"/>
        <v>0</v>
      </c>
      <c r="V124" s="297">
        <f t="shared" si="47"/>
        <v>0</v>
      </c>
      <c r="W124" s="290"/>
      <c r="X124" s="251">
        <v>500000</v>
      </c>
      <c r="Y124" s="251">
        <v>0</v>
      </c>
      <c r="Z124" s="310">
        <f t="shared" si="48"/>
        <v>500000</v>
      </c>
      <c r="AA124" s="321"/>
      <c r="AB124" s="251">
        <v>0</v>
      </c>
      <c r="AC124" s="251">
        <v>0</v>
      </c>
      <c r="AD124" s="310">
        <f t="shared" si="49"/>
        <v>0</v>
      </c>
      <c r="AE124" s="297">
        <f t="shared" si="50"/>
        <v>500000</v>
      </c>
      <c r="AF124" s="290"/>
      <c r="AG124" s="334">
        <f t="shared" si="51"/>
        <v>541000</v>
      </c>
    </row>
    <row r="125" spans="1:33" s="236" customFormat="1" ht="15" customHeight="1" hidden="1">
      <c r="A125" s="239" t="s">
        <v>1172</v>
      </c>
      <c r="B125" s="250" t="s">
        <v>184</v>
      </c>
      <c r="C125" s="250" t="s">
        <v>185</v>
      </c>
      <c r="D125" s="273">
        <v>0</v>
      </c>
      <c r="E125" s="273">
        <v>0</v>
      </c>
      <c r="F125" s="273">
        <f t="shared" si="43"/>
        <v>0</v>
      </c>
      <c r="G125" s="273">
        <v>0</v>
      </c>
      <c r="H125" s="310">
        <f t="shared" si="25"/>
        <v>0</v>
      </c>
      <c r="I125" s="290"/>
      <c r="J125" s="273">
        <v>0</v>
      </c>
      <c r="K125" s="273">
        <v>0</v>
      </c>
      <c r="L125" s="310">
        <f t="shared" si="44"/>
        <v>0</v>
      </c>
      <c r="M125" s="297">
        <f t="shared" si="27"/>
        <v>0</v>
      </c>
      <c r="N125" s="290"/>
      <c r="O125" s="273">
        <v>0</v>
      </c>
      <c r="P125" s="273">
        <v>0</v>
      </c>
      <c r="Q125" s="310">
        <f t="shared" si="45"/>
        <v>0</v>
      </c>
      <c r="R125" s="355"/>
      <c r="S125" s="273">
        <v>0</v>
      </c>
      <c r="T125" s="273">
        <v>0</v>
      </c>
      <c r="U125" s="310">
        <f t="shared" si="46"/>
        <v>0</v>
      </c>
      <c r="V125" s="297">
        <f t="shared" si="47"/>
        <v>0</v>
      </c>
      <c r="W125" s="290"/>
      <c r="X125" s="273">
        <v>0</v>
      </c>
      <c r="Y125" s="273">
        <v>0</v>
      </c>
      <c r="Z125" s="310">
        <f t="shared" si="48"/>
        <v>0</v>
      </c>
      <c r="AA125" s="321"/>
      <c r="AB125" s="273">
        <v>0</v>
      </c>
      <c r="AC125" s="273">
        <v>0</v>
      </c>
      <c r="AD125" s="310">
        <f t="shared" si="49"/>
        <v>0</v>
      </c>
      <c r="AE125" s="297">
        <f t="shared" si="50"/>
        <v>0</v>
      </c>
      <c r="AF125" s="290"/>
      <c r="AG125" s="334">
        <f t="shared" si="51"/>
        <v>0</v>
      </c>
    </row>
    <row r="126" spans="1:33" s="236" customFormat="1" ht="15" customHeight="1">
      <c r="A126" s="239" t="s">
        <v>1173</v>
      </c>
      <c r="B126" s="250" t="s">
        <v>186</v>
      </c>
      <c r="C126" s="250" t="s">
        <v>187</v>
      </c>
      <c r="D126" s="273">
        <v>0</v>
      </c>
      <c r="E126" s="273">
        <v>0</v>
      </c>
      <c r="F126" s="273">
        <f t="shared" si="43"/>
        <v>0</v>
      </c>
      <c r="G126" s="273">
        <v>0</v>
      </c>
      <c r="H126" s="310">
        <f t="shared" si="25"/>
        <v>0</v>
      </c>
      <c r="I126" s="290"/>
      <c r="J126" s="273">
        <v>0</v>
      </c>
      <c r="K126" s="273">
        <v>0</v>
      </c>
      <c r="L126" s="310">
        <f t="shared" si="44"/>
        <v>0</v>
      </c>
      <c r="M126" s="297">
        <f t="shared" si="27"/>
        <v>0</v>
      </c>
      <c r="N126" s="290"/>
      <c r="O126" s="273">
        <v>0</v>
      </c>
      <c r="P126" s="273">
        <v>0</v>
      </c>
      <c r="Q126" s="310">
        <f t="shared" si="45"/>
        <v>0</v>
      </c>
      <c r="R126" s="355"/>
      <c r="S126" s="273">
        <v>0</v>
      </c>
      <c r="T126" s="273">
        <v>0</v>
      </c>
      <c r="U126" s="310">
        <f t="shared" si="46"/>
        <v>0</v>
      </c>
      <c r="V126" s="297">
        <f t="shared" si="47"/>
        <v>0</v>
      </c>
      <c r="W126" s="290"/>
      <c r="X126" s="273">
        <v>150000</v>
      </c>
      <c r="Y126" s="273">
        <v>0</v>
      </c>
      <c r="Z126" s="310">
        <f t="shared" si="48"/>
        <v>150000</v>
      </c>
      <c r="AA126" s="321"/>
      <c r="AB126" s="273">
        <v>0</v>
      </c>
      <c r="AC126" s="273">
        <v>0</v>
      </c>
      <c r="AD126" s="310">
        <f t="shared" si="49"/>
        <v>0</v>
      </c>
      <c r="AE126" s="297">
        <f t="shared" si="50"/>
        <v>150000</v>
      </c>
      <c r="AF126" s="290"/>
      <c r="AG126" s="334">
        <f t="shared" si="51"/>
        <v>150000</v>
      </c>
    </row>
    <row r="127" spans="1:33" s="10" customFormat="1" ht="15" customHeight="1">
      <c r="A127" s="239" t="s">
        <v>1174</v>
      </c>
      <c r="B127" s="247" t="s">
        <v>442</v>
      </c>
      <c r="C127" s="247" t="s">
        <v>188</v>
      </c>
      <c r="D127" s="253">
        <f>SUM(D128:D132)</f>
        <v>150000</v>
      </c>
      <c r="E127" s="253">
        <f>SUM(E128:E132)</f>
        <v>0</v>
      </c>
      <c r="F127" s="253">
        <f t="shared" si="43"/>
        <v>150000</v>
      </c>
      <c r="G127" s="253">
        <f>SUM(G128:G132)</f>
        <v>0</v>
      </c>
      <c r="H127" s="309">
        <f t="shared" si="25"/>
        <v>150000</v>
      </c>
      <c r="I127" s="289"/>
      <c r="J127" s="253">
        <f>SUM(J128:J132)</f>
        <v>550000</v>
      </c>
      <c r="K127" s="253">
        <f>SUM(K128:K132)</f>
        <v>0</v>
      </c>
      <c r="L127" s="309">
        <f t="shared" si="44"/>
        <v>550000</v>
      </c>
      <c r="M127" s="266">
        <f t="shared" si="27"/>
        <v>700000</v>
      </c>
      <c r="N127" s="289"/>
      <c r="O127" s="253">
        <f>SUM(O128:O132)</f>
        <v>100000</v>
      </c>
      <c r="P127" s="253">
        <f>SUM(P128:P132)</f>
        <v>0</v>
      </c>
      <c r="Q127" s="309">
        <f t="shared" si="45"/>
        <v>100000</v>
      </c>
      <c r="R127" s="354"/>
      <c r="S127" s="253">
        <f>SUM(S128:S132)</f>
        <v>300000</v>
      </c>
      <c r="T127" s="253">
        <f>SUM(T128:T132)</f>
        <v>0</v>
      </c>
      <c r="U127" s="309">
        <f t="shared" si="46"/>
        <v>300000</v>
      </c>
      <c r="V127" s="266">
        <f t="shared" si="47"/>
        <v>400000</v>
      </c>
      <c r="W127" s="289"/>
      <c r="X127" s="253">
        <f>SUM(X128:X132)</f>
        <v>850000</v>
      </c>
      <c r="Y127" s="253">
        <f>SUM(Y128:Y132)</f>
        <v>0</v>
      </c>
      <c r="Z127" s="309">
        <f t="shared" si="48"/>
        <v>850000</v>
      </c>
      <c r="AA127" s="320"/>
      <c r="AB127" s="253">
        <f>SUM(AB128:AB132)</f>
        <v>900000</v>
      </c>
      <c r="AC127" s="253">
        <f>SUM(AC128:AC132)</f>
        <v>0</v>
      </c>
      <c r="AD127" s="660">
        <f t="shared" si="49"/>
        <v>900000</v>
      </c>
      <c r="AE127" s="266">
        <f t="shared" si="50"/>
        <v>1750000</v>
      </c>
      <c r="AF127" s="289"/>
      <c r="AG127" s="285">
        <f t="shared" si="51"/>
        <v>2850000</v>
      </c>
    </row>
    <row r="128" spans="1:33" s="236" customFormat="1" ht="15" customHeight="1" hidden="1">
      <c r="A128" s="239" t="s">
        <v>1175</v>
      </c>
      <c r="B128" s="250" t="s">
        <v>189</v>
      </c>
      <c r="C128" s="250" t="s">
        <v>190</v>
      </c>
      <c r="D128" s="273">
        <v>0</v>
      </c>
      <c r="E128" s="273">
        <v>0</v>
      </c>
      <c r="F128" s="273">
        <f t="shared" si="43"/>
        <v>0</v>
      </c>
      <c r="G128" s="273">
        <v>0</v>
      </c>
      <c r="H128" s="310">
        <f t="shared" si="25"/>
        <v>0</v>
      </c>
      <c r="I128" s="290"/>
      <c r="J128" s="273">
        <v>0</v>
      </c>
      <c r="K128" s="273">
        <v>0</v>
      </c>
      <c r="L128" s="310">
        <f t="shared" si="44"/>
        <v>0</v>
      </c>
      <c r="M128" s="297">
        <f t="shared" si="27"/>
        <v>0</v>
      </c>
      <c r="N128" s="290"/>
      <c r="O128" s="273">
        <v>0</v>
      </c>
      <c r="P128" s="273">
        <v>0</v>
      </c>
      <c r="Q128" s="310">
        <f t="shared" si="45"/>
        <v>0</v>
      </c>
      <c r="R128" s="355"/>
      <c r="S128" s="273">
        <v>0</v>
      </c>
      <c r="T128" s="273">
        <v>0</v>
      </c>
      <c r="U128" s="310">
        <f t="shared" si="46"/>
        <v>0</v>
      </c>
      <c r="V128" s="297">
        <f t="shared" si="47"/>
        <v>0</v>
      </c>
      <c r="W128" s="290"/>
      <c r="X128" s="273">
        <v>0</v>
      </c>
      <c r="Y128" s="273">
        <v>0</v>
      </c>
      <c r="Z128" s="310">
        <f t="shared" si="48"/>
        <v>0</v>
      </c>
      <c r="AA128" s="321"/>
      <c r="AB128" s="273">
        <v>0</v>
      </c>
      <c r="AC128" s="273">
        <v>0</v>
      </c>
      <c r="AD128" s="310">
        <f t="shared" si="49"/>
        <v>0</v>
      </c>
      <c r="AE128" s="297">
        <f t="shared" si="50"/>
        <v>0</v>
      </c>
      <c r="AF128" s="290"/>
      <c r="AG128" s="334">
        <f t="shared" si="51"/>
        <v>0</v>
      </c>
    </row>
    <row r="129" spans="1:33" s="236" customFormat="1" ht="15" customHeight="1">
      <c r="A129" s="239" t="s">
        <v>1176</v>
      </c>
      <c r="B129" s="252" t="s">
        <v>12</v>
      </c>
      <c r="C129" s="252" t="s">
        <v>191</v>
      </c>
      <c r="D129" s="251">
        <v>0</v>
      </c>
      <c r="E129" s="251">
        <v>0</v>
      </c>
      <c r="F129" s="251">
        <f t="shared" si="43"/>
        <v>0</v>
      </c>
      <c r="G129" s="251">
        <v>0</v>
      </c>
      <c r="H129" s="310">
        <f t="shared" si="25"/>
        <v>0</v>
      </c>
      <c r="I129" s="290"/>
      <c r="J129" s="251">
        <v>350000</v>
      </c>
      <c r="K129" s="251">
        <v>0</v>
      </c>
      <c r="L129" s="310">
        <f t="shared" si="44"/>
        <v>350000</v>
      </c>
      <c r="M129" s="297">
        <f t="shared" si="27"/>
        <v>350000</v>
      </c>
      <c r="N129" s="290"/>
      <c r="O129" s="251">
        <v>50000</v>
      </c>
      <c r="P129" s="251">
        <v>0</v>
      </c>
      <c r="Q129" s="310">
        <f t="shared" si="45"/>
        <v>50000</v>
      </c>
      <c r="R129" s="355"/>
      <c r="S129" s="251">
        <v>0</v>
      </c>
      <c r="T129" s="251">
        <v>0</v>
      </c>
      <c r="U129" s="310">
        <f t="shared" si="46"/>
        <v>0</v>
      </c>
      <c r="V129" s="297">
        <f t="shared" si="47"/>
        <v>50000</v>
      </c>
      <c r="W129" s="290"/>
      <c r="X129" s="251">
        <v>500000</v>
      </c>
      <c r="Y129" s="251">
        <v>0</v>
      </c>
      <c r="Z129" s="310">
        <f t="shared" si="48"/>
        <v>500000</v>
      </c>
      <c r="AA129" s="321"/>
      <c r="AB129" s="251">
        <v>500000</v>
      </c>
      <c r="AC129" s="251">
        <v>0</v>
      </c>
      <c r="AD129" s="310">
        <f t="shared" si="49"/>
        <v>500000</v>
      </c>
      <c r="AE129" s="297">
        <f t="shared" si="50"/>
        <v>1000000</v>
      </c>
      <c r="AF129" s="290"/>
      <c r="AG129" s="334">
        <f t="shared" si="51"/>
        <v>1400000</v>
      </c>
    </row>
    <row r="130" spans="1:33" s="236" customFormat="1" ht="15" customHeight="1">
      <c r="A130" s="239" t="s">
        <v>1177</v>
      </c>
      <c r="B130" s="250" t="s">
        <v>192</v>
      </c>
      <c r="C130" s="250" t="s">
        <v>193</v>
      </c>
      <c r="D130" s="273">
        <v>0</v>
      </c>
      <c r="E130" s="273">
        <v>0</v>
      </c>
      <c r="F130" s="273">
        <f t="shared" si="43"/>
        <v>0</v>
      </c>
      <c r="G130" s="273">
        <v>0</v>
      </c>
      <c r="H130" s="310">
        <f t="shared" si="25"/>
        <v>0</v>
      </c>
      <c r="I130" s="290"/>
      <c r="J130" s="273">
        <v>100000</v>
      </c>
      <c r="K130" s="273">
        <v>0</v>
      </c>
      <c r="L130" s="310">
        <f t="shared" si="44"/>
        <v>100000</v>
      </c>
      <c r="M130" s="297">
        <f t="shared" si="27"/>
        <v>100000</v>
      </c>
      <c r="N130" s="290"/>
      <c r="O130" s="273">
        <v>50000</v>
      </c>
      <c r="P130" s="273">
        <v>0</v>
      </c>
      <c r="Q130" s="310">
        <f t="shared" si="45"/>
        <v>50000</v>
      </c>
      <c r="R130" s="355"/>
      <c r="S130" s="273">
        <v>0</v>
      </c>
      <c r="T130" s="273">
        <v>0</v>
      </c>
      <c r="U130" s="310">
        <f t="shared" si="46"/>
        <v>0</v>
      </c>
      <c r="V130" s="297">
        <f t="shared" si="47"/>
        <v>50000</v>
      </c>
      <c r="W130" s="290"/>
      <c r="X130" s="273">
        <v>0</v>
      </c>
      <c r="Y130" s="273">
        <v>0</v>
      </c>
      <c r="Z130" s="310">
        <f t="shared" si="48"/>
        <v>0</v>
      </c>
      <c r="AA130" s="321"/>
      <c r="AB130" s="273">
        <v>100000</v>
      </c>
      <c r="AC130" s="273">
        <v>0</v>
      </c>
      <c r="AD130" s="310">
        <f t="shared" si="49"/>
        <v>100000</v>
      </c>
      <c r="AE130" s="297">
        <f t="shared" si="50"/>
        <v>100000</v>
      </c>
      <c r="AF130" s="290"/>
      <c r="AG130" s="334">
        <f t="shared" si="51"/>
        <v>250000</v>
      </c>
    </row>
    <row r="131" spans="1:33" s="236" customFormat="1" ht="15" customHeight="1">
      <c r="A131" s="239" t="s">
        <v>1178</v>
      </c>
      <c r="B131" s="252" t="s">
        <v>13</v>
      </c>
      <c r="C131" s="252" t="s">
        <v>194</v>
      </c>
      <c r="D131" s="251">
        <v>0</v>
      </c>
      <c r="E131" s="251">
        <v>0</v>
      </c>
      <c r="F131" s="251">
        <f t="shared" si="43"/>
        <v>0</v>
      </c>
      <c r="G131" s="251">
        <v>0</v>
      </c>
      <c r="H131" s="310">
        <f t="shared" si="25"/>
        <v>0</v>
      </c>
      <c r="I131" s="290"/>
      <c r="J131" s="251">
        <v>100000</v>
      </c>
      <c r="K131" s="251">
        <v>0</v>
      </c>
      <c r="L131" s="310">
        <f t="shared" si="44"/>
        <v>100000</v>
      </c>
      <c r="M131" s="297">
        <f t="shared" si="27"/>
        <v>100000</v>
      </c>
      <c r="N131" s="290"/>
      <c r="O131" s="333">
        <v>0</v>
      </c>
      <c r="P131" s="251">
        <v>0</v>
      </c>
      <c r="Q131" s="310">
        <f t="shared" si="45"/>
        <v>0</v>
      </c>
      <c r="R131" s="355"/>
      <c r="S131" s="251">
        <v>300000</v>
      </c>
      <c r="T131" s="251">
        <v>0</v>
      </c>
      <c r="U131" s="310">
        <f t="shared" si="46"/>
        <v>300000</v>
      </c>
      <c r="V131" s="297">
        <f t="shared" si="47"/>
        <v>300000</v>
      </c>
      <c r="W131" s="290"/>
      <c r="X131" s="251">
        <v>200000</v>
      </c>
      <c r="Y131" s="251">
        <v>0</v>
      </c>
      <c r="Z131" s="310">
        <f t="shared" si="48"/>
        <v>200000</v>
      </c>
      <c r="AA131" s="321"/>
      <c r="AB131" s="251">
        <v>300000</v>
      </c>
      <c r="AC131" s="251">
        <v>0</v>
      </c>
      <c r="AD131" s="310">
        <f t="shared" si="49"/>
        <v>300000</v>
      </c>
      <c r="AE131" s="297">
        <f t="shared" si="50"/>
        <v>500000</v>
      </c>
      <c r="AF131" s="290"/>
      <c r="AG131" s="334">
        <f t="shared" si="51"/>
        <v>900000</v>
      </c>
    </row>
    <row r="132" spans="1:33" s="236" customFormat="1" ht="15" customHeight="1">
      <c r="A132" s="239" t="s">
        <v>1179</v>
      </c>
      <c r="B132" s="250" t="s">
        <v>195</v>
      </c>
      <c r="C132" s="250" t="s">
        <v>196</v>
      </c>
      <c r="D132" s="273">
        <v>150000</v>
      </c>
      <c r="E132" s="273">
        <v>0</v>
      </c>
      <c r="F132" s="273">
        <f t="shared" si="43"/>
        <v>150000</v>
      </c>
      <c r="G132" s="273">
        <v>0</v>
      </c>
      <c r="H132" s="310">
        <f t="shared" si="25"/>
        <v>150000</v>
      </c>
      <c r="I132" s="290"/>
      <c r="J132" s="273">
        <v>0</v>
      </c>
      <c r="K132" s="273">
        <v>0</v>
      </c>
      <c r="L132" s="310">
        <f t="shared" si="44"/>
        <v>0</v>
      </c>
      <c r="M132" s="297">
        <f t="shared" si="27"/>
        <v>150000</v>
      </c>
      <c r="N132" s="290"/>
      <c r="O132" s="273">
        <v>0</v>
      </c>
      <c r="P132" s="273">
        <v>0</v>
      </c>
      <c r="Q132" s="310">
        <f t="shared" si="45"/>
        <v>0</v>
      </c>
      <c r="R132" s="355"/>
      <c r="S132" s="273">
        <v>0</v>
      </c>
      <c r="T132" s="273">
        <v>0</v>
      </c>
      <c r="U132" s="310">
        <f t="shared" si="46"/>
        <v>0</v>
      </c>
      <c r="V132" s="297">
        <f t="shared" si="47"/>
        <v>0</v>
      </c>
      <c r="W132" s="290"/>
      <c r="X132" s="273">
        <v>150000</v>
      </c>
      <c r="Y132" s="273">
        <v>0</v>
      </c>
      <c r="Z132" s="310">
        <f t="shared" si="48"/>
        <v>150000</v>
      </c>
      <c r="AA132" s="321"/>
      <c r="AB132" s="273">
        <v>0</v>
      </c>
      <c r="AC132" s="273">
        <v>0</v>
      </c>
      <c r="AD132" s="310">
        <f t="shared" si="49"/>
        <v>0</v>
      </c>
      <c r="AE132" s="297">
        <f t="shared" si="50"/>
        <v>150000</v>
      </c>
      <c r="AF132" s="290"/>
      <c r="AG132" s="334">
        <f t="shared" si="51"/>
        <v>300000</v>
      </c>
    </row>
    <row r="133" spans="1:33" s="10" customFormat="1" ht="15" customHeight="1">
      <c r="A133" s="239" t="s">
        <v>1180</v>
      </c>
      <c r="B133" s="247" t="s">
        <v>451</v>
      </c>
      <c r="C133" s="247" t="s">
        <v>197</v>
      </c>
      <c r="D133" s="253">
        <f>D134+D139</f>
        <v>1680000</v>
      </c>
      <c r="E133" s="253">
        <f>E134+E139</f>
        <v>0</v>
      </c>
      <c r="F133" s="253">
        <f t="shared" si="43"/>
        <v>1680000</v>
      </c>
      <c r="G133" s="253">
        <f>G134+G139</f>
        <v>0</v>
      </c>
      <c r="H133" s="309">
        <f t="shared" si="25"/>
        <v>1680000</v>
      </c>
      <c r="I133" s="289"/>
      <c r="J133" s="253">
        <f>J134+J139</f>
        <v>696000</v>
      </c>
      <c r="K133" s="253">
        <f>K134+K139</f>
        <v>0</v>
      </c>
      <c r="L133" s="309">
        <f t="shared" si="44"/>
        <v>696000</v>
      </c>
      <c r="M133" s="266">
        <f t="shared" si="27"/>
        <v>2376000</v>
      </c>
      <c r="N133" s="289"/>
      <c r="O133" s="253">
        <f>O134+O139</f>
        <v>410000</v>
      </c>
      <c r="P133" s="253">
        <f>P134+P139</f>
        <v>0</v>
      </c>
      <c r="Q133" s="309">
        <f t="shared" si="45"/>
        <v>410000</v>
      </c>
      <c r="R133" s="354"/>
      <c r="S133" s="253">
        <f>S134+S139</f>
        <v>0</v>
      </c>
      <c r="T133" s="253">
        <f>T134+T139</f>
        <v>0</v>
      </c>
      <c r="U133" s="309">
        <f t="shared" si="46"/>
        <v>0</v>
      </c>
      <c r="V133" s="266">
        <f t="shared" si="47"/>
        <v>410000</v>
      </c>
      <c r="W133" s="289"/>
      <c r="X133" s="253">
        <f>X134+X139</f>
        <v>1190000</v>
      </c>
      <c r="Y133" s="253">
        <f>Y134+Y139</f>
        <v>0</v>
      </c>
      <c r="Z133" s="309">
        <f t="shared" si="48"/>
        <v>1190000</v>
      </c>
      <c r="AA133" s="320"/>
      <c r="AB133" s="253">
        <f>AB134+AB139</f>
        <v>460000</v>
      </c>
      <c r="AC133" s="253">
        <f>AC134+AC139</f>
        <v>0</v>
      </c>
      <c r="AD133" s="660">
        <f t="shared" si="49"/>
        <v>460000</v>
      </c>
      <c r="AE133" s="266">
        <f t="shared" si="50"/>
        <v>1650000</v>
      </c>
      <c r="AF133" s="289"/>
      <c r="AG133" s="285">
        <f t="shared" si="51"/>
        <v>4436000</v>
      </c>
    </row>
    <row r="134" spans="1:33" ht="15" customHeight="1">
      <c r="A134" s="239" t="s">
        <v>1181</v>
      </c>
      <c r="B134" s="261" t="s">
        <v>14</v>
      </c>
      <c r="C134" s="261" t="s">
        <v>198</v>
      </c>
      <c r="D134" s="262">
        <f>SUM(D135:D138)</f>
        <v>0</v>
      </c>
      <c r="E134" s="262">
        <f>SUM(E135:E138)</f>
        <v>0</v>
      </c>
      <c r="F134" s="262">
        <f t="shared" si="43"/>
        <v>0</v>
      </c>
      <c r="G134" s="262">
        <f>SUM(G135:G138)</f>
        <v>0</v>
      </c>
      <c r="H134" s="312">
        <f t="shared" si="25"/>
        <v>0</v>
      </c>
      <c r="I134" s="292"/>
      <c r="J134" s="262">
        <f>SUM(J135:J138)</f>
        <v>696000</v>
      </c>
      <c r="K134" s="262">
        <f>SUM(K135:K138)</f>
        <v>0</v>
      </c>
      <c r="L134" s="312">
        <f t="shared" si="44"/>
        <v>696000</v>
      </c>
      <c r="M134" s="299">
        <f t="shared" si="27"/>
        <v>696000</v>
      </c>
      <c r="N134" s="292"/>
      <c r="O134" s="262">
        <f>SUM(O135:O138)</f>
        <v>315000</v>
      </c>
      <c r="P134" s="262">
        <f>SUM(P135:P138)</f>
        <v>0</v>
      </c>
      <c r="Q134" s="312">
        <f t="shared" si="45"/>
        <v>315000</v>
      </c>
      <c r="R134" s="353"/>
      <c r="S134" s="262">
        <f>SUM(S135:S138)</f>
        <v>0</v>
      </c>
      <c r="T134" s="262">
        <f>SUM(T135:T138)</f>
        <v>0</v>
      </c>
      <c r="U134" s="312">
        <f t="shared" si="46"/>
        <v>0</v>
      </c>
      <c r="V134" s="299">
        <f t="shared" si="47"/>
        <v>315000</v>
      </c>
      <c r="W134" s="292"/>
      <c r="X134" s="262">
        <f>SUM(X135:X138)</f>
        <v>740000</v>
      </c>
      <c r="Y134" s="262">
        <f>SUM(Y135:Y138)</f>
        <v>0</v>
      </c>
      <c r="Z134" s="312">
        <f t="shared" si="48"/>
        <v>740000</v>
      </c>
      <c r="AA134" s="323"/>
      <c r="AB134" s="262">
        <f>SUM(AB135:AB138)</f>
        <v>300000</v>
      </c>
      <c r="AC134" s="262">
        <f>SUM(AC135:AC138)</f>
        <v>0</v>
      </c>
      <c r="AD134" s="312">
        <f t="shared" si="49"/>
        <v>300000</v>
      </c>
      <c r="AE134" s="299">
        <f t="shared" si="50"/>
        <v>1040000</v>
      </c>
      <c r="AF134" s="292"/>
      <c r="AG134" s="336">
        <f t="shared" si="51"/>
        <v>2051000</v>
      </c>
    </row>
    <row r="135" spans="1:33" s="236" customFormat="1" ht="15" customHeight="1">
      <c r="A135" s="239" t="s">
        <v>1182</v>
      </c>
      <c r="B135" s="252" t="s">
        <v>199</v>
      </c>
      <c r="C135" s="252" t="s">
        <v>200</v>
      </c>
      <c r="D135" s="251">
        <v>0</v>
      </c>
      <c r="E135" s="251">
        <v>0</v>
      </c>
      <c r="F135" s="251">
        <f t="shared" si="43"/>
        <v>0</v>
      </c>
      <c r="G135" s="251">
        <v>0</v>
      </c>
      <c r="H135" s="310">
        <f t="shared" si="25"/>
        <v>0</v>
      </c>
      <c r="I135" s="290"/>
      <c r="J135" s="251">
        <f>(50000*12)</f>
        <v>600000</v>
      </c>
      <c r="K135" s="251">
        <v>0</v>
      </c>
      <c r="L135" s="310">
        <f t="shared" si="44"/>
        <v>600000</v>
      </c>
      <c r="M135" s="297">
        <f t="shared" si="27"/>
        <v>600000</v>
      </c>
      <c r="N135" s="290"/>
      <c r="O135" s="251">
        <v>40000</v>
      </c>
      <c r="P135" s="251">
        <v>0</v>
      </c>
      <c r="Q135" s="310">
        <f t="shared" si="45"/>
        <v>40000</v>
      </c>
      <c r="R135" s="355"/>
      <c r="S135" s="251">
        <v>0</v>
      </c>
      <c r="T135" s="251">
        <v>0</v>
      </c>
      <c r="U135" s="310">
        <f t="shared" si="46"/>
        <v>0</v>
      </c>
      <c r="V135" s="297">
        <f t="shared" si="47"/>
        <v>40000</v>
      </c>
      <c r="W135" s="290"/>
      <c r="X135" s="251">
        <v>240000</v>
      </c>
      <c r="Y135" s="251">
        <v>0</v>
      </c>
      <c r="Z135" s="310">
        <f t="shared" si="48"/>
        <v>240000</v>
      </c>
      <c r="AA135" s="321"/>
      <c r="AB135" s="251">
        <v>50000</v>
      </c>
      <c r="AC135" s="251">
        <v>0</v>
      </c>
      <c r="AD135" s="310">
        <f t="shared" si="49"/>
        <v>50000</v>
      </c>
      <c r="AE135" s="297">
        <f t="shared" si="50"/>
        <v>290000</v>
      </c>
      <c r="AF135" s="290"/>
      <c r="AG135" s="334">
        <f t="shared" si="51"/>
        <v>930000</v>
      </c>
    </row>
    <row r="136" spans="1:33" s="236" customFormat="1" ht="15" customHeight="1">
      <c r="A136" s="239" t="s">
        <v>1183</v>
      </c>
      <c r="B136" s="252" t="s">
        <v>201</v>
      </c>
      <c r="C136" s="252" t="s">
        <v>202</v>
      </c>
      <c r="D136" s="251">
        <v>0</v>
      </c>
      <c r="E136" s="251">
        <v>0</v>
      </c>
      <c r="F136" s="251">
        <f t="shared" si="43"/>
        <v>0</v>
      </c>
      <c r="G136" s="251">
        <v>0</v>
      </c>
      <c r="H136" s="310">
        <f t="shared" si="25"/>
        <v>0</v>
      </c>
      <c r="I136" s="290"/>
      <c r="J136" s="251">
        <v>0</v>
      </c>
      <c r="K136" s="251">
        <v>0</v>
      </c>
      <c r="L136" s="310">
        <f t="shared" si="44"/>
        <v>0</v>
      </c>
      <c r="M136" s="297">
        <f t="shared" si="27"/>
        <v>0</v>
      </c>
      <c r="N136" s="290"/>
      <c r="O136" s="251">
        <v>0</v>
      </c>
      <c r="P136" s="251">
        <v>0</v>
      </c>
      <c r="Q136" s="310">
        <f t="shared" si="45"/>
        <v>0</v>
      </c>
      <c r="R136" s="355"/>
      <c r="S136" s="251">
        <v>0</v>
      </c>
      <c r="T136" s="251">
        <v>0</v>
      </c>
      <c r="U136" s="310">
        <f t="shared" si="46"/>
        <v>0</v>
      </c>
      <c r="V136" s="297">
        <f t="shared" si="47"/>
        <v>0</v>
      </c>
      <c r="W136" s="290"/>
      <c r="X136" s="251">
        <v>300000</v>
      </c>
      <c r="Y136" s="251">
        <v>0</v>
      </c>
      <c r="Z136" s="310">
        <f t="shared" si="48"/>
        <v>300000</v>
      </c>
      <c r="AA136" s="321"/>
      <c r="AB136" s="251">
        <v>0</v>
      </c>
      <c r="AC136" s="251">
        <v>0</v>
      </c>
      <c r="AD136" s="310">
        <f t="shared" si="49"/>
        <v>0</v>
      </c>
      <c r="AE136" s="297">
        <f t="shared" si="50"/>
        <v>300000</v>
      </c>
      <c r="AF136" s="290"/>
      <c r="AG136" s="334">
        <f t="shared" si="51"/>
        <v>300000</v>
      </c>
    </row>
    <row r="137" spans="1:33" s="236" customFormat="1" ht="15" customHeight="1">
      <c r="A137" s="239" t="s">
        <v>1184</v>
      </c>
      <c r="B137" s="252" t="s">
        <v>203</v>
      </c>
      <c r="C137" s="252" t="s">
        <v>204</v>
      </c>
      <c r="D137" s="251">
        <v>0</v>
      </c>
      <c r="E137" s="251">
        <v>0</v>
      </c>
      <c r="F137" s="251">
        <f t="shared" si="43"/>
        <v>0</v>
      </c>
      <c r="G137" s="251">
        <v>0</v>
      </c>
      <c r="H137" s="310">
        <f t="shared" si="25"/>
        <v>0</v>
      </c>
      <c r="I137" s="290"/>
      <c r="J137" s="251">
        <f>96000</f>
        <v>96000</v>
      </c>
      <c r="K137" s="251">
        <v>0</v>
      </c>
      <c r="L137" s="310">
        <f t="shared" si="44"/>
        <v>96000</v>
      </c>
      <c r="M137" s="297">
        <f t="shared" si="27"/>
        <v>96000</v>
      </c>
      <c r="N137" s="290"/>
      <c r="O137" s="251">
        <v>0</v>
      </c>
      <c r="P137" s="251">
        <v>0</v>
      </c>
      <c r="Q137" s="310">
        <f t="shared" si="45"/>
        <v>0</v>
      </c>
      <c r="R137" s="355"/>
      <c r="S137" s="251">
        <v>0</v>
      </c>
      <c r="T137" s="251">
        <v>0</v>
      </c>
      <c r="U137" s="310">
        <f t="shared" si="46"/>
        <v>0</v>
      </c>
      <c r="V137" s="297">
        <f t="shared" si="47"/>
        <v>0</v>
      </c>
      <c r="W137" s="290"/>
      <c r="X137" s="251">
        <v>200000</v>
      </c>
      <c r="Y137" s="251">
        <v>0</v>
      </c>
      <c r="Z137" s="310">
        <f t="shared" si="48"/>
        <v>200000</v>
      </c>
      <c r="AA137" s="321"/>
      <c r="AB137" s="251">
        <v>250000</v>
      </c>
      <c r="AC137" s="251">
        <v>0</v>
      </c>
      <c r="AD137" s="310">
        <f t="shared" si="49"/>
        <v>250000</v>
      </c>
      <c r="AE137" s="297">
        <f t="shared" si="50"/>
        <v>450000</v>
      </c>
      <c r="AF137" s="290"/>
      <c r="AG137" s="334">
        <f t="shared" si="51"/>
        <v>546000</v>
      </c>
    </row>
    <row r="138" spans="1:33" s="236" customFormat="1" ht="15" customHeight="1">
      <c r="A138" s="239" t="s">
        <v>1185</v>
      </c>
      <c r="B138" s="252" t="s">
        <v>205</v>
      </c>
      <c r="C138" s="252" t="s">
        <v>1514</v>
      </c>
      <c r="D138" s="251">
        <v>0</v>
      </c>
      <c r="E138" s="251">
        <v>0</v>
      </c>
      <c r="F138" s="251">
        <f t="shared" si="43"/>
        <v>0</v>
      </c>
      <c r="G138" s="251">
        <v>0</v>
      </c>
      <c r="H138" s="310">
        <f t="shared" si="25"/>
        <v>0</v>
      </c>
      <c r="I138" s="290"/>
      <c r="J138" s="251">
        <v>0</v>
      </c>
      <c r="K138" s="251">
        <v>0</v>
      </c>
      <c r="L138" s="310">
        <f t="shared" si="44"/>
        <v>0</v>
      </c>
      <c r="M138" s="297">
        <f t="shared" si="27"/>
        <v>0</v>
      </c>
      <c r="N138" s="290"/>
      <c r="O138" s="251">
        <v>275000</v>
      </c>
      <c r="P138" s="251">
        <v>0</v>
      </c>
      <c r="Q138" s="310">
        <f t="shared" si="45"/>
        <v>275000</v>
      </c>
      <c r="R138" s="355"/>
      <c r="S138" s="251">
        <v>0</v>
      </c>
      <c r="T138" s="251">
        <v>0</v>
      </c>
      <c r="U138" s="310">
        <f t="shared" si="46"/>
        <v>0</v>
      </c>
      <c r="V138" s="297">
        <f t="shared" si="47"/>
        <v>275000</v>
      </c>
      <c r="W138" s="290"/>
      <c r="X138" s="251">
        <v>0</v>
      </c>
      <c r="Y138" s="251">
        <v>0</v>
      </c>
      <c r="Z138" s="310">
        <f t="shared" si="48"/>
        <v>0</v>
      </c>
      <c r="AA138" s="321"/>
      <c r="AB138" s="251">
        <v>0</v>
      </c>
      <c r="AC138" s="251">
        <v>0</v>
      </c>
      <c r="AD138" s="310">
        <f t="shared" si="49"/>
        <v>0</v>
      </c>
      <c r="AE138" s="297">
        <f t="shared" si="50"/>
        <v>0</v>
      </c>
      <c r="AF138" s="290"/>
      <c r="AG138" s="334">
        <f t="shared" si="51"/>
        <v>275000</v>
      </c>
    </row>
    <row r="139" spans="1:33" ht="15" customHeight="1">
      <c r="A139" s="239" t="s">
        <v>1186</v>
      </c>
      <c r="B139" s="261" t="s">
        <v>926</v>
      </c>
      <c r="C139" s="261" t="s">
        <v>16</v>
      </c>
      <c r="D139" s="262">
        <f>SUM(D141+D140)</f>
        <v>1680000</v>
      </c>
      <c r="E139" s="262">
        <f>SUM(E141+E140)</f>
        <v>0</v>
      </c>
      <c r="F139" s="262">
        <f t="shared" si="43"/>
        <v>1680000</v>
      </c>
      <c r="G139" s="262">
        <f>SUM(G141+G140)</f>
        <v>0</v>
      </c>
      <c r="H139" s="312">
        <f t="shared" si="25"/>
        <v>1680000</v>
      </c>
      <c r="I139" s="292"/>
      <c r="J139" s="262">
        <f>SUM(J141+J140)</f>
        <v>0</v>
      </c>
      <c r="K139" s="262">
        <f>SUM(K141+K140)</f>
        <v>0</v>
      </c>
      <c r="L139" s="312">
        <f t="shared" si="44"/>
        <v>0</v>
      </c>
      <c r="M139" s="299">
        <f t="shared" si="27"/>
        <v>1680000</v>
      </c>
      <c r="N139" s="292"/>
      <c r="O139" s="262">
        <f>SUM(O141+O140)</f>
        <v>95000</v>
      </c>
      <c r="P139" s="262">
        <f>SUM(P141+P140)</f>
        <v>0</v>
      </c>
      <c r="Q139" s="312">
        <f t="shared" si="45"/>
        <v>95000</v>
      </c>
      <c r="R139" s="353"/>
      <c r="S139" s="262">
        <f>SUM(S141+S140)</f>
        <v>0</v>
      </c>
      <c r="T139" s="262">
        <f>SUM(T141+T140)</f>
        <v>0</v>
      </c>
      <c r="U139" s="312">
        <f t="shared" si="46"/>
        <v>0</v>
      </c>
      <c r="V139" s="299">
        <f t="shared" si="47"/>
        <v>95000</v>
      </c>
      <c r="W139" s="292"/>
      <c r="X139" s="262">
        <f>SUM(X141+X140)</f>
        <v>450000</v>
      </c>
      <c r="Y139" s="262">
        <f>SUM(Y141+Y140)</f>
        <v>0</v>
      </c>
      <c r="Z139" s="312">
        <f t="shared" si="48"/>
        <v>450000</v>
      </c>
      <c r="AA139" s="323"/>
      <c r="AB139" s="262">
        <f>SUM(AB141+AB140)</f>
        <v>160000</v>
      </c>
      <c r="AC139" s="262">
        <f>SUM(AC141+AC140)</f>
        <v>0</v>
      </c>
      <c r="AD139" s="312">
        <f t="shared" si="49"/>
        <v>160000</v>
      </c>
      <c r="AE139" s="299">
        <f t="shared" si="50"/>
        <v>610000</v>
      </c>
      <c r="AF139" s="292"/>
      <c r="AG139" s="336">
        <f t="shared" si="51"/>
        <v>2385000</v>
      </c>
    </row>
    <row r="140" spans="1:33" s="236" customFormat="1" ht="15" customHeight="1">
      <c r="A140" s="239" t="s">
        <v>1187</v>
      </c>
      <c r="B140" s="250" t="s">
        <v>15</v>
      </c>
      <c r="C140" s="250" t="s">
        <v>206</v>
      </c>
      <c r="D140" s="273">
        <f>25000*12</f>
        <v>300000</v>
      </c>
      <c r="E140" s="273">
        <v>0</v>
      </c>
      <c r="F140" s="273">
        <f t="shared" si="43"/>
        <v>300000</v>
      </c>
      <c r="G140" s="273">
        <v>0</v>
      </c>
      <c r="H140" s="310">
        <f t="shared" si="25"/>
        <v>300000</v>
      </c>
      <c r="I140" s="290"/>
      <c r="J140" s="273">
        <v>0</v>
      </c>
      <c r="K140" s="273">
        <v>0</v>
      </c>
      <c r="L140" s="310">
        <f t="shared" si="44"/>
        <v>0</v>
      </c>
      <c r="M140" s="297">
        <f t="shared" si="27"/>
        <v>300000</v>
      </c>
      <c r="N140" s="290"/>
      <c r="O140" s="273">
        <v>0</v>
      </c>
      <c r="P140" s="307">
        <v>0</v>
      </c>
      <c r="Q140" s="310">
        <f t="shared" si="45"/>
        <v>0</v>
      </c>
      <c r="R140" s="355"/>
      <c r="S140" s="273">
        <v>0</v>
      </c>
      <c r="T140" s="273">
        <v>0</v>
      </c>
      <c r="U140" s="310">
        <f t="shared" si="46"/>
        <v>0</v>
      </c>
      <c r="V140" s="297">
        <f t="shared" si="47"/>
        <v>0</v>
      </c>
      <c r="W140" s="290"/>
      <c r="X140" s="273">
        <v>350000</v>
      </c>
      <c r="Y140" s="273">
        <v>0</v>
      </c>
      <c r="Z140" s="310">
        <f t="shared" si="48"/>
        <v>350000</v>
      </c>
      <c r="AA140" s="321"/>
      <c r="AB140" s="273">
        <v>160000</v>
      </c>
      <c r="AC140" s="273">
        <v>0</v>
      </c>
      <c r="AD140" s="310">
        <f t="shared" si="49"/>
        <v>160000</v>
      </c>
      <c r="AE140" s="297">
        <f t="shared" si="50"/>
        <v>510000</v>
      </c>
      <c r="AF140" s="290"/>
      <c r="AG140" s="334">
        <f t="shared" si="51"/>
        <v>810000</v>
      </c>
    </row>
    <row r="141" spans="1:33" s="236" customFormat="1" ht="15" customHeight="1">
      <c r="A141" s="239" t="s">
        <v>1188</v>
      </c>
      <c r="B141" s="252" t="s">
        <v>207</v>
      </c>
      <c r="C141" s="252" t="s">
        <v>208</v>
      </c>
      <c r="D141" s="251">
        <v>1380000</v>
      </c>
      <c r="E141" s="251">
        <v>0</v>
      </c>
      <c r="F141" s="251">
        <f t="shared" si="43"/>
        <v>1380000</v>
      </c>
      <c r="G141" s="251">
        <v>0</v>
      </c>
      <c r="H141" s="310">
        <f t="shared" si="25"/>
        <v>1380000</v>
      </c>
      <c r="I141" s="290"/>
      <c r="J141" s="251">
        <v>0</v>
      </c>
      <c r="K141" s="251">
        <v>0</v>
      </c>
      <c r="L141" s="310">
        <f t="shared" si="44"/>
        <v>0</v>
      </c>
      <c r="M141" s="297">
        <f t="shared" si="27"/>
        <v>1380000</v>
      </c>
      <c r="N141" s="290"/>
      <c r="O141" s="251">
        <v>95000</v>
      </c>
      <c r="P141" s="251">
        <v>0</v>
      </c>
      <c r="Q141" s="310">
        <f t="shared" si="45"/>
        <v>95000</v>
      </c>
      <c r="R141" s="355"/>
      <c r="S141" s="251">
        <v>0</v>
      </c>
      <c r="T141" s="251">
        <v>0</v>
      </c>
      <c r="U141" s="310">
        <f t="shared" si="46"/>
        <v>0</v>
      </c>
      <c r="V141" s="297">
        <f t="shared" si="47"/>
        <v>95000</v>
      </c>
      <c r="W141" s="290"/>
      <c r="X141" s="251">
        <v>100000</v>
      </c>
      <c r="Y141" s="251">
        <v>0</v>
      </c>
      <c r="Z141" s="310">
        <f t="shared" si="48"/>
        <v>100000</v>
      </c>
      <c r="AA141" s="321"/>
      <c r="AB141" s="251">
        <v>0</v>
      </c>
      <c r="AC141" s="251">
        <v>0</v>
      </c>
      <c r="AD141" s="310">
        <f t="shared" si="49"/>
        <v>0</v>
      </c>
      <c r="AE141" s="297">
        <f t="shared" si="50"/>
        <v>100000</v>
      </c>
      <c r="AF141" s="290"/>
      <c r="AG141" s="334">
        <f t="shared" si="51"/>
        <v>1575000</v>
      </c>
    </row>
    <row r="142" spans="1:33" s="10" customFormat="1" ht="15" customHeight="1">
      <c r="A142" s="239" t="s">
        <v>1189</v>
      </c>
      <c r="B142" s="254" t="s">
        <v>459</v>
      </c>
      <c r="C142" s="254" t="s">
        <v>209</v>
      </c>
      <c r="D142" s="255">
        <f>SUM(D143:D145)</f>
        <v>840000</v>
      </c>
      <c r="E142" s="255">
        <f>SUM(E143:E145)</f>
        <v>0</v>
      </c>
      <c r="F142" s="255">
        <f t="shared" si="43"/>
        <v>840000</v>
      </c>
      <c r="G142" s="255">
        <f>SUM(G143:G145)</f>
        <v>0</v>
      </c>
      <c r="H142" s="309">
        <f t="shared" si="25"/>
        <v>840000</v>
      </c>
      <c r="I142" s="289"/>
      <c r="J142" s="255">
        <f>SUM(J143:J145)</f>
        <v>0</v>
      </c>
      <c r="K142" s="255">
        <f>SUM(K143:K145)</f>
        <v>0</v>
      </c>
      <c r="L142" s="309">
        <f t="shared" si="44"/>
        <v>0</v>
      </c>
      <c r="M142" s="266">
        <f t="shared" si="27"/>
        <v>840000</v>
      </c>
      <c r="N142" s="289"/>
      <c r="O142" s="255">
        <f>SUM(O143:O145)</f>
        <v>1285000</v>
      </c>
      <c r="P142" s="255">
        <f>SUM(P143:P145)</f>
        <v>0</v>
      </c>
      <c r="Q142" s="309">
        <f t="shared" si="45"/>
        <v>1285000</v>
      </c>
      <c r="R142" s="354"/>
      <c r="S142" s="255">
        <f>SUM(S143:S145)</f>
        <v>1752000</v>
      </c>
      <c r="T142" s="255">
        <f>SUM(T143:T145)</f>
        <v>0</v>
      </c>
      <c r="U142" s="309">
        <f t="shared" si="46"/>
        <v>1752000</v>
      </c>
      <c r="V142" s="266">
        <f t="shared" si="47"/>
        <v>3037000</v>
      </c>
      <c r="W142" s="289"/>
      <c r="X142" s="255">
        <f>SUM(X143:X145)</f>
        <v>0</v>
      </c>
      <c r="Y142" s="255">
        <f>SUM(Y143:Y145)</f>
        <v>0</v>
      </c>
      <c r="Z142" s="309">
        <f t="shared" si="48"/>
        <v>0</v>
      </c>
      <c r="AA142" s="320"/>
      <c r="AB142" s="255">
        <f>SUM(AB143:AB145)</f>
        <v>4940000</v>
      </c>
      <c r="AC142" s="255">
        <f>SUM(AC143:AC145)</f>
        <v>0</v>
      </c>
      <c r="AD142" s="660">
        <f t="shared" si="49"/>
        <v>4940000</v>
      </c>
      <c r="AE142" s="266">
        <f t="shared" si="50"/>
        <v>4940000</v>
      </c>
      <c r="AF142" s="289"/>
      <c r="AG142" s="285">
        <f t="shared" si="51"/>
        <v>8817000</v>
      </c>
    </row>
    <row r="143" spans="1:33" s="236" customFormat="1" ht="15" customHeight="1">
      <c r="A143" s="239" t="s">
        <v>1190</v>
      </c>
      <c r="B143" s="250" t="s">
        <v>210</v>
      </c>
      <c r="C143" s="250" t="s">
        <v>211</v>
      </c>
      <c r="D143" s="273">
        <v>780000</v>
      </c>
      <c r="E143" s="273">
        <v>0</v>
      </c>
      <c r="F143" s="273">
        <f t="shared" si="43"/>
        <v>780000</v>
      </c>
      <c r="G143" s="273">
        <v>0</v>
      </c>
      <c r="H143" s="310">
        <f>F143+G143</f>
        <v>780000</v>
      </c>
      <c r="I143" s="290"/>
      <c r="J143" s="273">
        <v>0</v>
      </c>
      <c r="K143" s="273">
        <v>0</v>
      </c>
      <c r="L143" s="310">
        <f t="shared" si="44"/>
        <v>0</v>
      </c>
      <c r="M143" s="297">
        <f>H143+L143</f>
        <v>780000</v>
      </c>
      <c r="N143" s="290"/>
      <c r="O143" s="273">
        <v>315000</v>
      </c>
      <c r="P143" s="273">
        <v>0</v>
      </c>
      <c r="Q143" s="310">
        <f t="shared" si="45"/>
        <v>315000</v>
      </c>
      <c r="R143" s="355"/>
      <c r="S143" s="273">
        <v>240000</v>
      </c>
      <c r="T143" s="273">
        <v>0</v>
      </c>
      <c r="U143" s="310">
        <f t="shared" si="46"/>
        <v>240000</v>
      </c>
      <c r="V143" s="297">
        <f t="shared" si="47"/>
        <v>555000</v>
      </c>
      <c r="W143" s="290"/>
      <c r="X143" s="273">
        <v>0</v>
      </c>
      <c r="Y143" s="273">
        <v>0</v>
      </c>
      <c r="Z143" s="310">
        <f t="shared" si="48"/>
        <v>0</v>
      </c>
      <c r="AA143" s="321"/>
      <c r="AB143" s="273">
        <v>1945000</v>
      </c>
      <c r="AC143" s="273">
        <v>0</v>
      </c>
      <c r="AD143" s="310">
        <f t="shared" si="49"/>
        <v>1945000</v>
      </c>
      <c r="AE143" s="297">
        <f t="shared" si="50"/>
        <v>1945000</v>
      </c>
      <c r="AF143" s="290"/>
      <c r="AG143" s="334">
        <f t="shared" si="51"/>
        <v>3280000</v>
      </c>
    </row>
    <row r="144" spans="1:33" s="236" customFormat="1" ht="15" customHeight="1">
      <c r="A144" s="239" t="s">
        <v>1191</v>
      </c>
      <c r="B144" s="252" t="s">
        <v>212</v>
      </c>
      <c r="C144" s="252" t="s">
        <v>213</v>
      </c>
      <c r="D144" s="273">
        <v>0</v>
      </c>
      <c r="E144" s="273">
        <v>0</v>
      </c>
      <c r="F144" s="273">
        <f t="shared" si="43"/>
        <v>0</v>
      </c>
      <c r="G144" s="273">
        <v>0</v>
      </c>
      <c r="H144" s="310">
        <f>F144+G144</f>
        <v>0</v>
      </c>
      <c r="I144" s="290"/>
      <c r="J144" s="273">
        <v>0</v>
      </c>
      <c r="K144" s="273">
        <v>0</v>
      </c>
      <c r="L144" s="310">
        <f t="shared" si="44"/>
        <v>0</v>
      </c>
      <c r="M144" s="297">
        <f>H144+L144</f>
        <v>0</v>
      </c>
      <c r="N144" s="290"/>
      <c r="O144" s="273">
        <v>950000</v>
      </c>
      <c r="P144" s="273">
        <v>0</v>
      </c>
      <c r="Q144" s="310">
        <f t="shared" si="45"/>
        <v>950000</v>
      </c>
      <c r="R144" s="355"/>
      <c r="S144" s="273">
        <v>1260000</v>
      </c>
      <c r="T144" s="273">
        <v>0</v>
      </c>
      <c r="U144" s="310">
        <f t="shared" si="46"/>
        <v>1260000</v>
      </c>
      <c r="V144" s="297">
        <f t="shared" si="47"/>
        <v>2210000</v>
      </c>
      <c r="W144" s="290"/>
      <c r="X144" s="273">
        <v>0</v>
      </c>
      <c r="Y144" s="273">
        <v>0</v>
      </c>
      <c r="Z144" s="310">
        <f t="shared" si="48"/>
        <v>0</v>
      </c>
      <c r="AA144" s="321"/>
      <c r="AB144" s="273">
        <v>2600000</v>
      </c>
      <c r="AC144" s="273">
        <v>0</v>
      </c>
      <c r="AD144" s="310">
        <f t="shared" si="49"/>
        <v>2600000</v>
      </c>
      <c r="AE144" s="297">
        <f t="shared" si="50"/>
        <v>2600000</v>
      </c>
      <c r="AF144" s="290"/>
      <c r="AG144" s="334">
        <f t="shared" si="51"/>
        <v>4810000</v>
      </c>
    </row>
    <row r="145" spans="1:33" s="236" customFormat="1" ht="15" customHeight="1">
      <c r="A145" s="239" t="s">
        <v>1192</v>
      </c>
      <c r="B145" s="252" t="s">
        <v>214</v>
      </c>
      <c r="C145" s="252" t="s">
        <v>215</v>
      </c>
      <c r="D145" s="251">
        <v>60000</v>
      </c>
      <c r="E145" s="251">
        <v>0</v>
      </c>
      <c r="F145" s="251">
        <f t="shared" si="43"/>
        <v>60000</v>
      </c>
      <c r="G145" s="251">
        <v>0</v>
      </c>
      <c r="H145" s="310">
        <f>F145+G145</f>
        <v>60000</v>
      </c>
      <c r="I145" s="290"/>
      <c r="J145" s="251">
        <v>0</v>
      </c>
      <c r="K145" s="251">
        <v>0</v>
      </c>
      <c r="L145" s="310">
        <f t="shared" si="44"/>
        <v>0</v>
      </c>
      <c r="M145" s="297">
        <f>H145+L145</f>
        <v>60000</v>
      </c>
      <c r="N145" s="290"/>
      <c r="O145" s="251">
        <v>20000</v>
      </c>
      <c r="P145" s="251">
        <v>0</v>
      </c>
      <c r="Q145" s="310">
        <f t="shared" si="45"/>
        <v>20000</v>
      </c>
      <c r="R145" s="355"/>
      <c r="S145" s="251">
        <v>252000</v>
      </c>
      <c r="T145" s="251">
        <v>0</v>
      </c>
      <c r="U145" s="310">
        <f t="shared" si="46"/>
        <v>252000</v>
      </c>
      <c r="V145" s="297">
        <f t="shared" si="47"/>
        <v>272000</v>
      </c>
      <c r="W145" s="290"/>
      <c r="X145" s="251">
        <v>0</v>
      </c>
      <c r="Y145" s="251">
        <v>0</v>
      </c>
      <c r="Z145" s="310">
        <f t="shared" si="48"/>
        <v>0</v>
      </c>
      <c r="AA145" s="321"/>
      <c r="AB145" s="251">
        <v>395000</v>
      </c>
      <c r="AC145" s="251">
        <v>0</v>
      </c>
      <c r="AD145" s="310">
        <f t="shared" si="49"/>
        <v>395000</v>
      </c>
      <c r="AE145" s="297">
        <f t="shared" si="50"/>
        <v>395000</v>
      </c>
      <c r="AF145" s="290"/>
      <c r="AG145" s="334">
        <f t="shared" si="51"/>
        <v>727000</v>
      </c>
    </row>
    <row r="146" spans="1:33" s="5" customFormat="1" ht="7.5" customHeight="1">
      <c r="A146" s="239" t="s">
        <v>1193</v>
      </c>
      <c r="B146" s="278"/>
      <c r="C146" s="278"/>
      <c r="D146" s="279"/>
      <c r="E146" s="279"/>
      <c r="F146" s="279"/>
      <c r="G146" s="279"/>
      <c r="H146" s="279"/>
      <c r="I146" s="292"/>
      <c r="J146" s="279"/>
      <c r="K146" s="279"/>
      <c r="L146" s="279"/>
      <c r="M146" s="279"/>
      <c r="N146" s="292"/>
      <c r="O146" s="279"/>
      <c r="P146" s="279"/>
      <c r="Q146" s="279"/>
      <c r="R146" s="353"/>
      <c r="S146" s="279"/>
      <c r="T146" s="279"/>
      <c r="U146" s="279"/>
      <c r="V146" s="279"/>
      <c r="W146" s="292"/>
      <c r="X146" s="279"/>
      <c r="Y146" s="279"/>
      <c r="Z146" s="279"/>
      <c r="AA146" s="323"/>
      <c r="AB146" s="279"/>
      <c r="AC146" s="279"/>
      <c r="AD146" s="279"/>
      <c r="AE146" s="279">
        <f t="shared" si="50"/>
        <v>0</v>
      </c>
      <c r="AF146" s="292"/>
      <c r="AG146" s="279"/>
    </row>
    <row r="147" spans="1:33" s="10" customFormat="1" ht="15" customHeight="1">
      <c r="A147" s="239" t="s">
        <v>1194</v>
      </c>
      <c r="B147" s="254" t="s">
        <v>927</v>
      </c>
      <c r="C147" s="254" t="s">
        <v>216</v>
      </c>
      <c r="D147" s="255">
        <v>0</v>
      </c>
      <c r="E147" s="255">
        <v>0</v>
      </c>
      <c r="F147" s="255">
        <f t="shared" si="43"/>
        <v>0</v>
      </c>
      <c r="G147" s="255">
        <v>0</v>
      </c>
      <c r="H147" s="309">
        <f>F147+G147</f>
        <v>0</v>
      </c>
      <c r="I147" s="289"/>
      <c r="J147" s="255">
        <v>0</v>
      </c>
      <c r="K147" s="255">
        <v>0</v>
      </c>
      <c r="L147" s="309">
        <f t="shared" si="44"/>
        <v>0</v>
      </c>
      <c r="M147" s="266">
        <f>H147+L147</f>
        <v>0</v>
      </c>
      <c r="N147" s="289"/>
      <c r="O147" s="255">
        <v>0</v>
      </c>
      <c r="P147" s="255">
        <v>0</v>
      </c>
      <c r="Q147" s="309">
        <f t="shared" si="45"/>
        <v>0</v>
      </c>
      <c r="R147" s="354"/>
      <c r="S147" s="255">
        <v>0</v>
      </c>
      <c r="T147" s="255">
        <v>0</v>
      </c>
      <c r="U147" s="309">
        <f t="shared" si="46"/>
        <v>0</v>
      </c>
      <c r="V147" s="266">
        <f>Q147+U147</f>
        <v>0</v>
      </c>
      <c r="W147" s="289"/>
      <c r="X147" s="255">
        <v>0</v>
      </c>
      <c r="Y147" s="255">
        <v>0</v>
      </c>
      <c r="Z147" s="309">
        <f>SUM(X147:Y147)</f>
        <v>0</v>
      </c>
      <c r="AA147" s="320"/>
      <c r="AB147" s="255">
        <v>3990000</v>
      </c>
      <c r="AC147" s="255">
        <v>0</v>
      </c>
      <c r="AD147" s="660">
        <f>SUM(AB147:AC147)</f>
        <v>3990000</v>
      </c>
      <c r="AE147" s="266">
        <f t="shared" si="50"/>
        <v>3990000</v>
      </c>
      <c r="AF147" s="289"/>
      <c r="AG147" s="285">
        <f>M147+V147+AE147</f>
        <v>3990000</v>
      </c>
    </row>
    <row r="148" spans="1:33" s="5" customFormat="1" ht="7.5" customHeight="1">
      <c r="A148" s="239" t="s">
        <v>1195</v>
      </c>
      <c r="B148" s="278"/>
      <c r="C148" s="278"/>
      <c r="D148" s="279"/>
      <c r="E148" s="279"/>
      <c r="F148" s="279"/>
      <c r="G148" s="279"/>
      <c r="H148" s="279"/>
      <c r="I148" s="292"/>
      <c r="J148" s="279"/>
      <c r="K148" s="279"/>
      <c r="L148" s="279"/>
      <c r="M148" s="279"/>
      <c r="N148" s="292"/>
      <c r="O148" s="279"/>
      <c r="P148" s="279"/>
      <c r="Q148" s="279"/>
      <c r="R148" s="353"/>
      <c r="S148" s="279"/>
      <c r="T148" s="279"/>
      <c r="U148" s="279"/>
      <c r="V148" s="279"/>
      <c r="W148" s="292"/>
      <c r="X148" s="279"/>
      <c r="Y148" s="279"/>
      <c r="Z148" s="279"/>
      <c r="AA148" s="323"/>
      <c r="AB148" s="279"/>
      <c r="AC148" s="279"/>
      <c r="AD148" s="279"/>
      <c r="AE148" s="279">
        <f t="shared" si="50"/>
        <v>0</v>
      </c>
      <c r="AF148" s="292"/>
      <c r="AG148" s="279"/>
    </row>
    <row r="149" spans="1:33" s="10" customFormat="1" ht="15" customHeight="1">
      <c r="A149" s="239" t="s">
        <v>1317</v>
      </c>
      <c r="B149" s="247" t="s">
        <v>928</v>
      </c>
      <c r="C149" s="247" t="s">
        <v>217</v>
      </c>
      <c r="D149" s="255">
        <f>SUM(D151+D150)</f>
        <v>348000</v>
      </c>
      <c r="E149" s="255">
        <f>SUM(E151+E150)</f>
        <v>0</v>
      </c>
      <c r="F149" s="255">
        <f t="shared" si="43"/>
        <v>348000</v>
      </c>
      <c r="G149" s="255">
        <f>SUM(G151+G150)</f>
        <v>0</v>
      </c>
      <c r="H149" s="309">
        <f>F149+G149</f>
        <v>348000</v>
      </c>
      <c r="I149" s="289"/>
      <c r="J149" s="255">
        <f>SUM(J151+J150)</f>
        <v>240000</v>
      </c>
      <c r="K149" s="255">
        <f>SUM(K151+K150)</f>
        <v>0</v>
      </c>
      <c r="L149" s="309">
        <f t="shared" si="44"/>
        <v>240000</v>
      </c>
      <c r="M149" s="266">
        <f>H149+L149</f>
        <v>588000</v>
      </c>
      <c r="N149" s="289"/>
      <c r="O149" s="255">
        <f>SUM(O151+O150)</f>
        <v>0</v>
      </c>
      <c r="P149" s="255">
        <f>SUM(P151+P150)</f>
        <v>0</v>
      </c>
      <c r="Q149" s="309">
        <f t="shared" si="45"/>
        <v>0</v>
      </c>
      <c r="R149" s="354"/>
      <c r="S149" s="255">
        <f>SUM(S151+S150)</f>
        <v>0</v>
      </c>
      <c r="T149" s="255">
        <f>SUM(T151+T150)</f>
        <v>0</v>
      </c>
      <c r="U149" s="309">
        <f t="shared" si="46"/>
        <v>0</v>
      </c>
      <c r="V149" s="266">
        <f>Q149+U149</f>
        <v>0</v>
      </c>
      <c r="W149" s="289"/>
      <c r="X149" s="255">
        <f>SUM(X151+X150)</f>
        <v>2643300</v>
      </c>
      <c r="Y149" s="255">
        <f>SUM(Y151+Y150)</f>
        <v>0</v>
      </c>
      <c r="Z149" s="309">
        <f>SUM(X149:Y149)</f>
        <v>2643300</v>
      </c>
      <c r="AA149" s="320"/>
      <c r="AB149" s="255">
        <f>SUM(AB151+AB150)</f>
        <v>240000</v>
      </c>
      <c r="AC149" s="255">
        <f>SUM(AC151+AC150)</f>
        <v>0</v>
      </c>
      <c r="AD149" s="660">
        <f>SUM(AB149:AC149)</f>
        <v>240000</v>
      </c>
      <c r="AE149" s="266">
        <f t="shared" si="50"/>
        <v>2883300</v>
      </c>
      <c r="AF149" s="289"/>
      <c r="AG149" s="285">
        <f>M149+V149+AE149</f>
        <v>3471300</v>
      </c>
    </row>
    <row r="150" spans="1:33" s="236" customFormat="1" ht="15" customHeight="1">
      <c r="A150" s="239" t="s">
        <v>1196</v>
      </c>
      <c r="B150" s="250" t="s">
        <v>17</v>
      </c>
      <c r="C150" s="250" t="s">
        <v>363</v>
      </c>
      <c r="D150" s="273">
        <v>348000</v>
      </c>
      <c r="E150" s="273">
        <v>0</v>
      </c>
      <c r="F150" s="273">
        <f t="shared" si="43"/>
        <v>348000</v>
      </c>
      <c r="G150" s="273">
        <v>0</v>
      </c>
      <c r="H150" s="310">
        <f>F150+G150</f>
        <v>348000</v>
      </c>
      <c r="I150" s="290"/>
      <c r="J150" s="273">
        <v>240000</v>
      </c>
      <c r="K150" s="273">
        <v>0</v>
      </c>
      <c r="L150" s="310">
        <f t="shared" si="44"/>
        <v>240000</v>
      </c>
      <c r="M150" s="297">
        <f>H150+L150</f>
        <v>588000</v>
      </c>
      <c r="N150" s="290"/>
      <c r="O150" s="273">
        <v>0</v>
      </c>
      <c r="P150" s="273">
        <v>0</v>
      </c>
      <c r="Q150" s="310">
        <f t="shared" si="45"/>
        <v>0</v>
      </c>
      <c r="R150" s="355"/>
      <c r="S150" s="273">
        <v>0</v>
      </c>
      <c r="T150" s="273">
        <v>0</v>
      </c>
      <c r="U150" s="310">
        <f t="shared" si="46"/>
        <v>0</v>
      </c>
      <c r="V150" s="297">
        <f>Q150+U150</f>
        <v>0</v>
      </c>
      <c r="W150" s="290"/>
      <c r="X150" s="273">
        <v>0</v>
      </c>
      <c r="Y150" s="273">
        <v>0</v>
      </c>
      <c r="Z150" s="310">
        <f>SUM(X150:Y150)</f>
        <v>0</v>
      </c>
      <c r="AA150" s="321"/>
      <c r="AB150" s="273">
        <v>240000</v>
      </c>
      <c r="AC150" s="273">
        <v>0</v>
      </c>
      <c r="AD150" s="310">
        <f>SUM(AB150:AC150)</f>
        <v>240000</v>
      </c>
      <c r="AE150" s="297">
        <f t="shared" si="50"/>
        <v>240000</v>
      </c>
      <c r="AF150" s="290"/>
      <c r="AG150" s="334">
        <f>M150+V150+AE150</f>
        <v>828000</v>
      </c>
    </row>
    <row r="151" spans="1:33" s="236" customFormat="1" ht="15" customHeight="1">
      <c r="A151" s="239" t="s">
        <v>1318</v>
      </c>
      <c r="B151" s="250" t="s">
        <v>218</v>
      </c>
      <c r="C151" s="250" t="s">
        <v>219</v>
      </c>
      <c r="D151" s="251">
        <v>0</v>
      </c>
      <c r="E151" s="251">
        <v>0</v>
      </c>
      <c r="F151" s="251">
        <f t="shared" si="43"/>
        <v>0</v>
      </c>
      <c r="G151" s="251">
        <v>0</v>
      </c>
      <c r="H151" s="310">
        <f>F151+G151</f>
        <v>0</v>
      </c>
      <c r="I151" s="290"/>
      <c r="J151" s="251">
        <v>0</v>
      </c>
      <c r="K151" s="251">
        <v>0</v>
      </c>
      <c r="L151" s="310">
        <f t="shared" si="44"/>
        <v>0</v>
      </c>
      <c r="M151" s="297">
        <f>H151+L151</f>
        <v>0</v>
      </c>
      <c r="N151" s="290"/>
      <c r="O151" s="251">
        <v>0</v>
      </c>
      <c r="P151" s="251">
        <v>0</v>
      </c>
      <c r="Q151" s="310">
        <f t="shared" si="45"/>
        <v>0</v>
      </c>
      <c r="R151" s="355"/>
      <c r="S151" s="251">
        <v>0</v>
      </c>
      <c r="T151" s="251">
        <v>0</v>
      </c>
      <c r="U151" s="310">
        <f t="shared" si="46"/>
        <v>0</v>
      </c>
      <c r="V151" s="297">
        <f>Q151+U151</f>
        <v>0</v>
      </c>
      <c r="W151" s="290"/>
      <c r="X151" s="251">
        <v>2643300</v>
      </c>
      <c r="Y151" s="251">
        <v>0</v>
      </c>
      <c r="Z151" s="310">
        <f>SUM(X151:Y151)</f>
        <v>2643300</v>
      </c>
      <c r="AA151" s="321"/>
      <c r="AB151" s="251">
        <v>0</v>
      </c>
      <c r="AC151" s="251">
        <v>0</v>
      </c>
      <c r="AD151" s="310">
        <f>SUM(AB151:AC151)</f>
        <v>0</v>
      </c>
      <c r="AE151" s="297">
        <f t="shared" si="50"/>
        <v>2643300</v>
      </c>
      <c r="AF151" s="290"/>
      <c r="AG151" s="334">
        <f>M151+V151+AE151</f>
        <v>2643300</v>
      </c>
    </row>
    <row r="152" spans="1:33" s="5" customFormat="1" ht="5.25" customHeight="1">
      <c r="A152" s="239" t="s">
        <v>1197</v>
      </c>
      <c r="B152" s="278"/>
      <c r="C152" s="278"/>
      <c r="D152" s="279"/>
      <c r="E152" s="279"/>
      <c r="F152" s="279"/>
      <c r="G152" s="279"/>
      <c r="H152" s="279"/>
      <c r="I152" s="292"/>
      <c r="J152" s="279"/>
      <c r="K152" s="279"/>
      <c r="L152" s="279"/>
      <c r="M152" s="279"/>
      <c r="N152" s="292"/>
      <c r="O152" s="279"/>
      <c r="P152" s="279"/>
      <c r="Q152" s="279"/>
      <c r="R152" s="353"/>
      <c r="S152" s="279"/>
      <c r="T152" s="279"/>
      <c r="U152" s="279"/>
      <c r="V152" s="279"/>
      <c r="W152" s="292"/>
      <c r="X152" s="279"/>
      <c r="Y152" s="279"/>
      <c r="Z152" s="279"/>
      <c r="AA152" s="323"/>
      <c r="AB152" s="279"/>
      <c r="AC152" s="279"/>
      <c r="AD152" s="279"/>
      <c r="AE152" s="279">
        <f t="shared" si="50"/>
        <v>0</v>
      </c>
      <c r="AF152" s="292"/>
      <c r="AG152" s="279"/>
    </row>
    <row r="153" spans="1:33" s="10" customFormat="1" ht="15" customHeight="1">
      <c r="A153" s="239" t="s">
        <v>1198</v>
      </c>
      <c r="B153" s="254" t="s">
        <v>929</v>
      </c>
      <c r="C153" s="254" t="s">
        <v>221</v>
      </c>
      <c r="D153" s="255">
        <f>SUM(D155+D154)</f>
        <v>0</v>
      </c>
      <c r="E153" s="255">
        <f>SUM(E155+E154)</f>
        <v>0</v>
      </c>
      <c r="F153" s="255">
        <f t="shared" si="43"/>
        <v>0</v>
      </c>
      <c r="G153" s="255">
        <f>SUM(G155+G154)</f>
        <v>0</v>
      </c>
      <c r="H153" s="309">
        <f>F153+G153</f>
        <v>0</v>
      </c>
      <c r="I153" s="289"/>
      <c r="J153" s="255">
        <f>SUM(J155+J154)</f>
        <v>0</v>
      </c>
      <c r="K153" s="255">
        <f>SUM(K155+K154)</f>
        <v>0</v>
      </c>
      <c r="L153" s="309">
        <f t="shared" si="44"/>
        <v>0</v>
      </c>
      <c r="M153" s="266">
        <f>H153+L153</f>
        <v>0</v>
      </c>
      <c r="N153" s="289"/>
      <c r="O153" s="255">
        <f>SUM(O155+O154)</f>
        <v>0</v>
      </c>
      <c r="P153" s="255">
        <f>SUM(P155+P154)</f>
        <v>0</v>
      </c>
      <c r="Q153" s="309">
        <f t="shared" si="45"/>
        <v>0</v>
      </c>
      <c r="R153" s="354"/>
      <c r="S153" s="255">
        <f>SUM(S155+S154)</f>
        <v>0</v>
      </c>
      <c r="T153" s="255">
        <f>SUM(T155+T154)</f>
        <v>0</v>
      </c>
      <c r="U153" s="309">
        <f t="shared" si="46"/>
        <v>0</v>
      </c>
      <c r="V153" s="266">
        <f>Q153+U153</f>
        <v>0</v>
      </c>
      <c r="W153" s="289"/>
      <c r="X153" s="255">
        <f>SUM(X155+X154)</f>
        <v>393700</v>
      </c>
      <c r="Y153" s="255">
        <f>SUM(Y155+Y154)</f>
        <v>0</v>
      </c>
      <c r="Z153" s="309">
        <f>SUM(X153:Y153)</f>
        <v>393700</v>
      </c>
      <c r="AA153" s="320"/>
      <c r="AB153" s="255">
        <f>SUM(AB155+AB154)</f>
        <v>260000</v>
      </c>
      <c r="AC153" s="255">
        <f>SUM(AC155+AC154)</f>
        <v>0</v>
      </c>
      <c r="AD153" s="309">
        <f>SUM(AB153:AC153)</f>
        <v>260000</v>
      </c>
      <c r="AE153" s="266">
        <f t="shared" si="50"/>
        <v>653700</v>
      </c>
      <c r="AF153" s="289"/>
      <c r="AG153" s="285">
        <f>M153+V153+AE153</f>
        <v>653700</v>
      </c>
    </row>
    <row r="154" spans="1:33" s="236" customFormat="1" ht="15" customHeight="1">
      <c r="A154" s="239" t="s">
        <v>1199</v>
      </c>
      <c r="B154" s="252" t="s">
        <v>18</v>
      </c>
      <c r="C154" s="252" t="s">
        <v>222</v>
      </c>
      <c r="D154" s="273">
        <v>0</v>
      </c>
      <c r="E154" s="273">
        <v>0</v>
      </c>
      <c r="F154" s="273">
        <f t="shared" si="43"/>
        <v>0</v>
      </c>
      <c r="G154" s="273">
        <v>0</v>
      </c>
      <c r="H154" s="310">
        <f>F154+G154</f>
        <v>0</v>
      </c>
      <c r="I154" s="290"/>
      <c r="J154" s="273">
        <v>0</v>
      </c>
      <c r="K154" s="273">
        <v>0</v>
      </c>
      <c r="L154" s="310">
        <f t="shared" si="44"/>
        <v>0</v>
      </c>
      <c r="M154" s="297">
        <f>H154+L154</f>
        <v>0</v>
      </c>
      <c r="N154" s="290"/>
      <c r="O154" s="273">
        <v>0</v>
      </c>
      <c r="P154" s="273">
        <v>0</v>
      </c>
      <c r="Q154" s="310">
        <f t="shared" si="45"/>
        <v>0</v>
      </c>
      <c r="R154" s="355"/>
      <c r="S154" s="273">
        <v>0</v>
      </c>
      <c r="T154" s="273">
        <v>0</v>
      </c>
      <c r="U154" s="310">
        <f t="shared" si="46"/>
        <v>0</v>
      </c>
      <c r="V154" s="297">
        <f>Q154+U154</f>
        <v>0</v>
      </c>
      <c r="W154" s="290"/>
      <c r="X154" s="273">
        <v>393700</v>
      </c>
      <c r="Y154" s="273">
        <v>0</v>
      </c>
      <c r="Z154" s="310">
        <f>SUM(X154:Y154)</f>
        <v>393700</v>
      </c>
      <c r="AA154" s="321"/>
      <c r="AB154" s="273">
        <v>260000</v>
      </c>
      <c r="AC154" s="273">
        <v>0</v>
      </c>
      <c r="AD154" s="310">
        <f>SUM(AB154:AC154)</f>
        <v>260000</v>
      </c>
      <c r="AE154" s="297">
        <f aca="true" t="shared" si="52" ref="AE154:AE185">Z154+AD154</f>
        <v>653700</v>
      </c>
      <c r="AF154" s="290"/>
      <c r="AG154" s="334">
        <f>M154+V154+AE154</f>
        <v>653700</v>
      </c>
    </row>
    <row r="155" spans="1:33" s="236" customFormat="1" ht="15" customHeight="1" hidden="1">
      <c r="A155" s="239" t="s">
        <v>1319</v>
      </c>
      <c r="B155" s="252" t="s">
        <v>220</v>
      </c>
      <c r="C155" s="252" t="s">
        <v>223</v>
      </c>
      <c r="D155" s="251">
        <v>0</v>
      </c>
      <c r="E155" s="251">
        <v>0</v>
      </c>
      <c r="F155" s="251">
        <f t="shared" si="43"/>
        <v>0</v>
      </c>
      <c r="G155" s="251">
        <v>0</v>
      </c>
      <c r="H155" s="310">
        <f>F155+G155</f>
        <v>0</v>
      </c>
      <c r="I155" s="290"/>
      <c r="J155" s="251">
        <v>0</v>
      </c>
      <c r="K155" s="251">
        <v>0</v>
      </c>
      <c r="L155" s="310">
        <f t="shared" si="44"/>
        <v>0</v>
      </c>
      <c r="M155" s="297">
        <f>H155+L155</f>
        <v>0</v>
      </c>
      <c r="N155" s="290"/>
      <c r="O155" s="251">
        <v>0</v>
      </c>
      <c r="P155" s="251">
        <v>0</v>
      </c>
      <c r="Q155" s="310">
        <f t="shared" si="45"/>
        <v>0</v>
      </c>
      <c r="R155" s="355"/>
      <c r="S155" s="251">
        <v>0</v>
      </c>
      <c r="T155" s="251">
        <v>0</v>
      </c>
      <c r="U155" s="310">
        <f t="shared" si="46"/>
        <v>0</v>
      </c>
      <c r="V155" s="297">
        <f>Q155+U155</f>
        <v>0</v>
      </c>
      <c r="W155" s="290"/>
      <c r="X155" s="251">
        <v>0</v>
      </c>
      <c r="Y155" s="251">
        <v>0</v>
      </c>
      <c r="Z155" s="310">
        <f>SUM(X155:Y155)</f>
        <v>0</v>
      </c>
      <c r="AA155" s="321"/>
      <c r="AB155" s="251">
        <v>0</v>
      </c>
      <c r="AC155" s="251">
        <v>0</v>
      </c>
      <c r="AD155" s="310">
        <f>SUM(AB155:AC155)</f>
        <v>0</v>
      </c>
      <c r="AE155" s="297">
        <f t="shared" si="52"/>
        <v>0</v>
      </c>
      <c r="AF155" s="290"/>
      <c r="AG155" s="334">
        <f>M155+V155+AE155</f>
        <v>0</v>
      </c>
    </row>
    <row r="156" spans="1:33" s="5" customFormat="1" ht="8.25" customHeight="1">
      <c r="A156" s="239" t="s">
        <v>1200</v>
      </c>
      <c r="B156" s="278"/>
      <c r="C156" s="278"/>
      <c r="D156" s="279"/>
      <c r="E156" s="279"/>
      <c r="F156" s="279"/>
      <c r="G156" s="279"/>
      <c r="H156" s="279"/>
      <c r="I156" s="292"/>
      <c r="J156" s="279"/>
      <c r="K156" s="279"/>
      <c r="L156" s="279"/>
      <c r="M156" s="279"/>
      <c r="N156" s="292"/>
      <c r="O156" s="279"/>
      <c r="P156" s="279"/>
      <c r="Q156" s="279"/>
      <c r="R156" s="353"/>
      <c r="S156" s="279"/>
      <c r="T156" s="279"/>
      <c r="U156" s="279"/>
      <c r="V156" s="279"/>
      <c r="W156" s="292"/>
      <c r="X156" s="279"/>
      <c r="Y156" s="279"/>
      <c r="Z156" s="279"/>
      <c r="AA156" s="323"/>
      <c r="AB156" s="279"/>
      <c r="AC156" s="279"/>
      <c r="AD156" s="279"/>
      <c r="AE156" s="279">
        <f t="shared" si="52"/>
        <v>0</v>
      </c>
      <c r="AF156" s="292"/>
      <c r="AG156" s="279"/>
    </row>
    <row r="157" spans="1:33" s="10" customFormat="1" ht="15" customHeight="1">
      <c r="A157" s="239" t="s">
        <v>1201</v>
      </c>
      <c r="B157" s="254" t="s">
        <v>470</v>
      </c>
      <c r="C157" s="247" t="s">
        <v>224</v>
      </c>
      <c r="D157" s="255">
        <f>SUM(D159+D158)</f>
        <v>0</v>
      </c>
      <c r="E157" s="255">
        <f>SUM(E159+E158)</f>
        <v>0</v>
      </c>
      <c r="F157" s="255">
        <f t="shared" si="43"/>
        <v>0</v>
      </c>
      <c r="G157" s="255">
        <f>SUM(G159+G158)</f>
        <v>0</v>
      </c>
      <c r="H157" s="309">
        <f>F157+G157</f>
        <v>0</v>
      </c>
      <c r="I157" s="289"/>
      <c r="J157" s="255">
        <f>SUM(J159+J158)</f>
        <v>0</v>
      </c>
      <c r="K157" s="255">
        <f>SUM(K159+K158)</f>
        <v>0</v>
      </c>
      <c r="L157" s="309">
        <f t="shared" si="44"/>
        <v>0</v>
      </c>
      <c r="M157" s="266">
        <f>H157+L157</f>
        <v>0</v>
      </c>
      <c r="N157" s="289"/>
      <c r="O157" s="255">
        <f>SUM(O159+O158)</f>
        <v>0</v>
      </c>
      <c r="P157" s="255">
        <f>SUM(P159+P158)</f>
        <v>0</v>
      </c>
      <c r="Q157" s="309">
        <f t="shared" si="45"/>
        <v>0</v>
      </c>
      <c r="R157" s="354"/>
      <c r="S157" s="255">
        <f>SUM(S159+S158)</f>
        <v>0</v>
      </c>
      <c r="T157" s="255">
        <f>SUM(T159+T158)</f>
        <v>0</v>
      </c>
      <c r="U157" s="309">
        <f t="shared" si="46"/>
        <v>0</v>
      </c>
      <c r="V157" s="266">
        <f>Q157+U157</f>
        <v>0</v>
      </c>
      <c r="W157" s="289"/>
      <c r="X157" s="255">
        <f>SUM(X159+X158)</f>
        <v>0</v>
      </c>
      <c r="Y157" s="255">
        <f>SUM(Y159+Y158)</f>
        <v>0</v>
      </c>
      <c r="Z157" s="309">
        <f>SUM(X157:Y157)</f>
        <v>0</v>
      </c>
      <c r="AA157" s="320"/>
      <c r="AB157" s="255">
        <f>SUM(AB159+AB158)</f>
        <v>0</v>
      </c>
      <c r="AC157" s="255">
        <f>SUM(AC159+AC158)</f>
        <v>0</v>
      </c>
      <c r="AD157" s="309">
        <f>SUM(AB157:AC157)</f>
        <v>0</v>
      </c>
      <c r="AE157" s="266">
        <f t="shared" si="52"/>
        <v>0</v>
      </c>
      <c r="AF157" s="289"/>
      <c r="AG157" s="285">
        <f>M157+V157+AE157</f>
        <v>0</v>
      </c>
    </row>
    <row r="158" spans="1:33" s="236" customFormat="1" ht="15" customHeight="1" hidden="1">
      <c r="A158" s="239" t="s">
        <v>1202</v>
      </c>
      <c r="B158" s="250" t="s">
        <v>19</v>
      </c>
      <c r="C158" s="250" t="s">
        <v>20</v>
      </c>
      <c r="D158" s="273">
        <v>0</v>
      </c>
      <c r="E158" s="273">
        <v>0</v>
      </c>
      <c r="F158" s="273">
        <f t="shared" si="43"/>
        <v>0</v>
      </c>
      <c r="G158" s="273">
        <v>0</v>
      </c>
      <c r="H158" s="310">
        <f>F158+G158</f>
        <v>0</v>
      </c>
      <c r="I158" s="290"/>
      <c r="J158" s="273">
        <v>0</v>
      </c>
      <c r="K158" s="273">
        <v>0</v>
      </c>
      <c r="L158" s="310">
        <f t="shared" si="44"/>
        <v>0</v>
      </c>
      <c r="M158" s="297">
        <f>H158+L158</f>
        <v>0</v>
      </c>
      <c r="N158" s="290"/>
      <c r="O158" s="273">
        <v>0</v>
      </c>
      <c r="P158" s="273">
        <v>0</v>
      </c>
      <c r="Q158" s="310">
        <f t="shared" si="45"/>
        <v>0</v>
      </c>
      <c r="R158" s="355"/>
      <c r="S158" s="273">
        <v>0</v>
      </c>
      <c r="T158" s="273">
        <v>0</v>
      </c>
      <c r="U158" s="310">
        <f t="shared" si="46"/>
        <v>0</v>
      </c>
      <c r="V158" s="297">
        <f>Q158+U158</f>
        <v>0</v>
      </c>
      <c r="W158" s="290"/>
      <c r="X158" s="273">
        <v>0</v>
      </c>
      <c r="Y158" s="273">
        <v>0</v>
      </c>
      <c r="Z158" s="310">
        <f>SUM(X158:Y158)</f>
        <v>0</v>
      </c>
      <c r="AA158" s="321"/>
      <c r="AB158" s="273">
        <v>0</v>
      </c>
      <c r="AC158" s="273">
        <v>0</v>
      </c>
      <c r="AD158" s="310">
        <f>SUM(AB158:AC158)</f>
        <v>0</v>
      </c>
      <c r="AE158" s="297">
        <f t="shared" si="52"/>
        <v>0</v>
      </c>
      <c r="AF158" s="290"/>
      <c r="AG158" s="334">
        <f>M158+V158+AE158</f>
        <v>0</v>
      </c>
    </row>
    <row r="159" spans="1:33" s="236" customFormat="1" ht="15" customHeight="1" hidden="1">
      <c r="A159" s="239" t="s">
        <v>1320</v>
      </c>
      <c r="B159" s="252" t="s">
        <v>225</v>
      </c>
      <c r="C159" s="252" t="s">
        <v>226</v>
      </c>
      <c r="D159" s="251">
        <v>0</v>
      </c>
      <c r="E159" s="251">
        <v>0</v>
      </c>
      <c r="F159" s="251">
        <f t="shared" si="43"/>
        <v>0</v>
      </c>
      <c r="G159" s="273">
        <v>0</v>
      </c>
      <c r="H159" s="310">
        <f>F159+G159</f>
        <v>0</v>
      </c>
      <c r="I159" s="290"/>
      <c r="J159" s="251">
        <v>0</v>
      </c>
      <c r="K159" s="251">
        <v>0</v>
      </c>
      <c r="L159" s="310">
        <f t="shared" si="44"/>
        <v>0</v>
      </c>
      <c r="M159" s="297">
        <f>H159+L159</f>
        <v>0</v>
      </c>
      <c r="N159" s="290"/>
      <c r="O159" s="251">
        <v>0</v>
      </c>
      <c r="P159" s="273">
        <v>0</v>
      </c>
      <c r="Q159" s="310">
        <f t="shared" si="45"/>
        <v>0</v>
      </c>
      <c r="R159" s="355"/>
      <c r="S159" s="251">
        <v>0</v>
      </c>
      <c r="T159" s="251">
        <v>0</v>
      </c>
      <c r="U159" s="310">
        <f t="shared" si="46"/>
        <v>0</v>
      </c>
      <c r="V159" s="297">
        <f>Q159+U159</f>
        <v>0</v>
      </c>
      <c r="W159" s="290"/>
      <c r="X159" s="251">
        <v>0</v>
      </c>
      <c r="Y159" s="251">
        <v>0</v>
      </c>
      <c r="Z159" s="310">
        <f>SUM(X159:Y159)</f>
        <v>0</v>
      </c>
      <c r="AA159" s="321"/>
      <c r="AB159" s="251">
        <v>0</v>
      </c>
      <c r="AC159" s="251">
        <v>0</v>
      </c>
      <c r="AD159" s="310">
        <f>SUM(AB159:AC159)</f>
        <v>0</v>
      </c>
      <c r="AE159" s="297">
        <f t="shared" si="52"/>
        <v>0</v>
      </c>
      <c r="AF159" s="290"/>
      <c r="AG159" s="334">
        <f>M159+V159+AE159</f>
        <v>0</v>
      </c>
    </row>
    <row r="160" spans="1:33" s="5" customFormat="1" ht="8.25" customHeight="1">
      <c r="A160" s="239" t="s">
        <v>1203</v>
      </c>
      <c r="B160" s="278"/>
      <c r="C160" s="278"/>
      <c r="D160" s="279"/>
      <c r="E160" s="279"/>
      <c r="F160" s="279"/>
      <c r="G160" s="279"/>
      <c r="H160" s="279"/>
      <c r="I160" s="292"/>
      <c r="J160" s="279"/>
      <c r="K160" s="279"/>
      <c r="L160" s="279"/>
      <c r="M160" s="279"/>
      <c r="N160" s="292"/>
      <c r="O160" s="279"/>
      <c r="P160" s="279"/>
      <c r="Q160" s="279"/>
      <c r="R160" s="353"/>
      <c r="S160" s="279"/>
      <c r="T160" s="279"/>
      <c r="U160" s="279"/>
      <c r="V160" s="279"/>
      <c r="W160" s="292"/>
      <c r="X160" s="279"/>
      <c r="Y160" s="279"/>
      <c r="Z160" s="279"/>
      <c r="AA160" s="323"/>
      <c r="AB160" s="279"/>
      <c r="AC160" s="279"/>
      <c r="AD160" s="279"/>
      <c r="AE160" s="279">
        <f t="shared" si="52"/>
        <v>0</v>
      </c>
      <c r="AF160" s="292"/>
      <c r="AG160" s="279"/>
    </row>
    <row r="161" spans="1:33" s="10" customFormat="1" ht="15" customHeight="1">
      <c r="A161" s="239" t="s">
        <v>1204</v>
      </c>
      <c r="B161" s="247" t="s">
        <v>930</v>
      </c>
      <c r="C161" s="247" t="s">
        <v>227</v>
      </c>
      <c r="D161" s="253">
        <f>D162+D169</f>
        <v>3033000</v>
      </c>
      <c r="E161" s="253">
        <f>E162+E169</f>
        <v>0</v>
      </c>
      <c r="F161" s="253">
        <f>SUM(D161:E161)</f>
        <v>3033000</v>
      </c>
      <c r="G161" s="253">
        <f>G162+G169</f>
        <v>0</v>
      </c>
      <c r="H161" s="309">
        <f>F161+G161</f>
        <v>3033000</v>
      </c>
      <c r="I161" s="289"/>
      <c r="J161" s="253">
        <f>J162+J169</f>
        <v>1664000</v>
      </c>
      <c r="K161" s="253">
        <f>K162+K169</f>
        <v>0</v>
      </c>
      <c r="L161" s="309">
        <f t="shared" si="44"/>
        <v>1664000</v>
      </c>
      <c r="M161" s="266">
        <f>H161+L161</f>
        <v>4697000</v>
      </c>
      <c r="N161" s="289"/>
      <c r="O161" s="253">
        <f>O162+O169</f>
        <v>8919000</v>
      </c>
      <c r="P161" s="253">
        <f>P162+P197</f>
        <v>0</v>
      </c>
      <c r="Q161" s="309">
        <f t="shared" si="45"/>
        <v>8919000</v>
      </c>
      <c r="R161" s="354"/>
      <c r="S161" s="253">
        <f>S162+S169</f>
        <v>1060000</v>
      </c>
      <c r="T161" s="253">
        <f>T162+T169</f>
        <v>0</v>
      </c>
      <c r="U161" s="309">
        <f t="shared" si="46"/>
        <v>1060000</v>
      </c>
      <c r="V161" s="266">
        <f aca="true" t="shared" si="53" ref="V161:V200">Q161+U161</f>
        <v>9979000</v>
      </c>
      <c r="W161" s="289"/>
      <c r="X161" s="253">
        <f>X162+X169</f>
        <v>3700000</v>
      </c>
      <c r="Y161" s="253">
        <f>Y162+Y169</f>
        <v>0</v>
      </c>
      <c r="Z161" s="309">
        <f aca="true" t="shared" si="54" ref="Z161:Z182">SUM(X161:Y161)</f>
        <v>3700000</v>
      </c>
      <c r="AA161" s="320"/>
      <c r="AB161" s="253">
        <f>AB162+AB169</f>
        <v>1050000</v>
      </c>
      <c r="AC161" s="253">
        <f>AC162+AC169</f>
        <v>0</v>
      </c>
      <c r="AD161" s="660">
        <f aca="true" t="shared" si="55" ref="AD161:AD182">SUM(AB161:AC161)</f>
        <v>1050000</v>
      </c>
      <c r="AE161" s="266">
        <f t="shared" si="52"/>
        <v>4750000</v>
      </c>
      <c r="AF161" s="289"/>
      <c r="AG161" s="285">
        <f aca="true" t="shared" si="56" ref="AG161:AG200">M161+V161+AE161</f>
        <v>19426000</v>
      </c>
    </row>
    <row r="162" spans="1:33" ht="15" customHeight="1">
      <c r="A162" s="239" t="s">
        <v>1205</v>
      </c>
      <c r="B162" s="261" t="s">
        <v>931</v>
      </c>
      <c r="C162" s="261" t="s">
        <v>228</v>
      </c>
      <c r="D162" s="264">
        <f>SUM(D163:D168)</f>
        <v>2380000</v>
      </c>
      <c r="E162" s="264">
        <f>SUM(E163:E168)</f>
        <v>0</v>
      </c>
      <c r="F162" s="264">
        <f t="shared" si="43"/>
        <v>2380000</v>
      </c>
      <c r="G162" s="264">
        <f>SUM(G163:G168)</f>
        <v>0</v>
      </c>
      <c r="H162" s="312">
        <f aca="true" t="shared" si="57" ref="H162:H182">F162+G162</f>
        <v>2380000</v>
      </c>
      <c r="I162" s="292"/>
      <c r="J162" s="264">
        <f>SUM(J163:J168)</f>
        <v>1664000</v>
      </c>
      <c r="K162" s="264">
        <f>SUM(K163:K168)</f>
        <v>0</v>
      </c>
      <c r="L162" s="312">
        <f t="shared" si="44"/>
        <v>1664000</v>
      </c>
      <c r="M162" s="299">
        <f aca="true" t="shared" si="58" ref="M162:M182">H162+L162</f>
        <v>4044000</v>
      </c>
      <c r="N162" s="292"/>
      <c r="O162" s="264">
        <f>SUM(O163:O168)</f>
        <v>0</v>
      </c>
      <c r="P162" s="264">
        <f>SUM(P163:P168)</f>
        <v>0</v>
      </c>
      <c r="Q162" s="312">
        <f t="shared" si="45"/>
        <v>0</v>
      </c>
      <c r="R162" s="353"/>
      <c r="S162" s="264">
        <f>SUM(S163:S168)</f>
        <v>0</v>
      </c>
      <c r="T162" s="264">
        <f>SUM(T163:T168)</f>
        <v>0</v>
      </c>
      <c r="U162" s="312">
        <f t="shared" si="46"/>
        <v>0</v>
      </c>
      <c r="V162" s="299">
        <f t="shared" si="53"/>
        <v>0</v>
      </c>
      <c r="W162" s="292"/>
      <c r="X162" s="264">
        <f>SUM(X163:X168)</f>
        <v>400000</v>
      </c>
      <c r="Y162" s="264">
        <f>SUM(Y163:Y168)</f>
        <v>0</v>
      </c>
      <c r="Z162" s="312">
        <f t="shared" si="54"/>
        <v>400000</v>
      </c>
      <c r="AA162" s="323"/>
      <c r="AB162" s="264">
        <f>SUM(AB163:AB168)</f>
        <v>130000</v>
      </c>
      <c r="AC162" s="264">
        <f>SUM(AC163:AC168)</f>
        <v>0</v>
      </c>
      <c r="AD162" s="312">
        <f t="shared" si="55"/>
        <v>130000</v>
      </c>
      <c r="AE162" s="299">
        <f t="shared" si="52"/>
        <v>530000</v>
      </c>
      <c r="AF162" s="292"/>
      <c r="AG162" s="336">
        <f t="shared" si="56"/>
        <v>4574000</v>
      </c>
    </row>
    <row r="163" spans="1:33" ht="15" customHeight="1">
      <c r="A163" s="239" t="s">
        <v>1321</v>
      </c>
      <c r="B163" s="252" t="s">
        <v>21</v>
      </c>
      <c r="C163" s="252" t="s">
        <v>229</v>
      </c>
      <c r="D163" s="251">
        <v>0</v>
      </c>
      <c r="E163" s="251">
        <v>0</v>
      </c>
      <c r="F163" s="251">
        <f t="shared" si="43"/>
        <v>0</v>
      </c>
      <c r="G163" s="251">
        <v>0</v>
      </c>
      <c r="H163" s="310">
        <f t="shared" si="57"/>
        <v>0</v>
      </c>
      <c r="I163" s="290"/>
      <c r="J163" s="251">
        <v>0</v>
      </c>
      <c r="K163" s="251">
        <v>0</v>
      </c>
      <c r="L163" s="310">
        <f t="shared" si="44"/>
        <v>0</v>
      </c>
      <c r="M163" s="297">
        <f t="shared" si="58"/>
        <v>0</v>
      </c>
      <c r="N163" s="290"/>
      <c r="O163" s="251">
        <v>0</v>
      </c>
      <c r="P163" s="251">
        <v>0</v>
      </c>
      <c r="Q163" s="310">
        <f t="shared" si="45"/>
        <v>0</v>
      </c>
      <c r="R163" s="355"/>
      <c r="S163" s="251">
        <v>0</v>
      </c>
      <c r="T163" s="251">
        <v>0</v>
      </c>
      <c r="U163" s="310">
        <f t="shared" si="46"/>
        <v>0</v>
      </c>
      <c r="V163" s="297">
        <f t="shared" si="53"/>
        <v>0</v>
      </c>
      <c r="W163" s="290"/>
      <c r="X163" s="251">
        <v>0</v>
      </c>
      <c r="Y163" s="251">
        <v>0</v>
      </c>
      <c r="Z163" s="310">
        <f t="shared" si="54"/>
        <v>0</v>
      </c>
      <c r="AA163" s="321"/>
      <c r="AB163" s="251">
        <v>0</v>
      </c>
      <c r="AC163" s="251">
        <v>0</v>
      </c>
      <c r="AD163" s="310">
        <f t="shared" si="55"/>
        <v>0</v>
      </c>
      <c r="AE163" s="297">
        <f t="shared" si="52"/>
        <v>0</v>
      </c>
      <c r="AF163" s="292"/>
      <c r="AG163" s="336">
        <f t="shared" si="56"/>
        <v>0</v>
      </c>
    </row>
    <row r="164" spans="1:33" ht="15" customHeight="1">
      <c r="A164" s="239" t="s">
        <v>1206</v>
      </c>
      <c r="B164" s="252" t="s">
        <v>234</v>
      </c>
      <c r="C164" s="252" t="s">
        <v>365</v>
      </c>
      <c r="D164" s="251">
        <v>0</v>
      </c>
      <c r="E164" s="251">
        <v>0</v>
      </c>
      <c r="F164" s="251">
        <f t="shared" si="43"/>
        <v>0</v>
      </c>
      <c r="G164" s="251">
        <v>0</v>
      </c>
      <c r="H164" s="310">
        <f t="shared" si="57"/>
        <v>0</v>
      </c>
      <c r="I164" s="290"/>
      <c r="J164" s="251">
        <v>1620000</v>
      </c>
      <c r="K164" s="251">
        <v>0</v>
      </c>
      <c r="L164" s="310">
        <f t="shared" si="44"/>
        <v>1620000</v>
      </c>
      <c r="M164" s="297">
        <f t="shared" si="58"/>
        <v>1620000</v>
      </c>
      <c r="N164" s="290"/>
      <c r="O164" s="251">
        <v>0</v>
      </c>
      <c r="P164" s="251">
        <v>0</v>
      </c>
      <c r="Q164" s="310">
        <f t="shared" si="45"/>
        <v>0</v>
      </c>
      <c r="R164" s="355"/>
      <c r="S164" s="251">
        <v>0</v>
      </c>
      <c r="T164" s="251">
        <v>0</v>
      </c>
      <c r="U164" s="310">
        <f t="shared" si="46"/>
        <v>0</v>
      </c>
      <c r="V164" s="297">
        <f t="shared" si="53"/>
        <v>0</v>
      </c>
      <c r="W164" s="290"/>
      <c r="X164" s="251">
        <v>0</v>
      </c>
      <c r="Y164" s="251">
        <v>0</v>
      </c>
      <c r="Z164" s="310">
        <f t="shared" si="54"/>
        <v>0</v>
      </c>
      <c r="AA164" s="321"/>
      <c r="AB164" s="251">
        <v>0</v>
      </c>
      <c r="AC164" s="251">
        <v>0</v>
      </c>
      <c r="AD164" s="310">
        <f t="shared" si="55"/>
        <v>0</v>
      </c>
      <c r="AE164" s="297">
        <f t="shared" si="52"/>
        <v>0</v>
      </c>
      <c r="AF164" s="292"/>
      <c r="AG164" s="336">
        <f t="shared" si="56"/>
        <v>1620000</v>
      </c>
    </row>
    <row r="165" spans="1:33" ht="15" customHeight="1">
      <c r="A165" s="239" t="s">
        <v>1207</v>
      </c>
      <c r="B165" s="252" t="s">
        <v>232</v>
      </c>
      <c r="C165" s="252" t="s">
        <v>364</v>
      </c>
      <c r="D165" s="251">
        <f>200000*2</f>
        <v>400000</v>
      </c>
      <c r="E165" s="251">
        <v>0</v>
      </c>
      <c r="F165" s="251">
        <f t="shared" si="43"/>
        <v>400000</v>
      </c>
      <c r="G165" s="251">
        <v>0</v>
      </c>
      <c r="H165" s="310">
        <f t="shared" si="57"/>
        <v>400000</v>
      </c>
      <c r="I165" s="290"/>
      <c r="J165" s="251">
        <v>0</v>
      </c>
      <c r="K165" s="251">
        <v>0</v>
      </c>
      <c r="L165" s="310">
        <f t="shared" si="44"/>
        <v>0</v>
      </c>
      <c r="M165" s="297">
        <f t="shared" si="58"/>
        <v>400000</v>
      </c>
      <c r="N165" s="290"/>
      <c r="O165" s="251">
        <v>0</v>
      </c>
      <c r="P165" s="251">
        <v>0</v>
      </c>
      <c r="Q165" s="310">
        <f t="shared" si="45"/>
        <v>0</v>
      </c>
      <c r="R165" s="355"/>
      <c r="S165" s="251">
        <v>0</v>
      </c>
      <c r="T165" s="251">
        <v>0</v>
      </c>
      <c r="U165" s="310">
        <f t="shared" si="46"/>
        <v>0</v>
      </c>
      <c r="V165" s="297">
        <f t="shared" si="53"/>
        <v>0</v>
      </c>
      <c r="W165" s="290"/>
      <c r="X165" s="251">
        <v>0</v>
      </c>
      <c r="Y165" s="251">
        <v>0</v>
      </c>
      <c r="Z165" s="310">
        <f t="shared" si="54"/>
        <v>0</v>
      </c>
      <c r="AA165" s="321"/>
      <c r="AB165" s="251">
        <v>0</v>
      </c>
      <c r="AC165" s="251">
        <v>0</v>
      </c>
      <c r="AD165" s="310">
        <f t="shared" si="55"/>
        <v>0</v>
      </c>
      <c r="AE165" s="297">
        <f t="shared" si="52"/>
        <v>0</v>
      </c>
      <c r="AF165" s="292"/>
      <c r="AG165" s="336">
        <f t="shared" si="56"/>
        <v>400000</v>
      </c>
    </row>
    <row r="166" spans="1:33" ht="15" customHeight="1">
      <c r="A166" s="239" t="s">
        <v>1208</v>
      </c>
      <c r="B166" s="250" t="s">
        <v>235</v>
      </c>
      <c r="C166" s="250" t="s">
        <v>1526</v>
      </c>
      <c r="D166" s="273">
        <v>0</v>
      </c>
      <c r="E166" s="273">
        <v>0</v>
      </c>
      <c r="F166" s="273">
        <f t="shared" si="43"/>
        <v>0</v>
      </c>
      <c r="G166" s="273">
        <v>0</v>
      </c>
      <c r="H166" s="310">
        <f t="shared" si="57"/>
        <v>0</v>
      </c>
      <c r="I166" s="290"/>
      <c r="J166" s="273">
        <v>0</v>
      </c>
      <c r="K166" s="273">
        <v>0</v>
      </c>
      <c r="L166" s="310">
        <f t="shared" si="44"/>
        <v>0</v>
      </c>
      <c r="M166" s="297">
        <f t="shared" si="58"/>
        <v>0</v>
      </c>
      <c r="N166" s="290"/>
      <c r="O166" s="273">
        <v>0</v>
      </c>
      <c r="P166" s="273">
        <v>0</v>
      </c>
      <c r="Q166" s="310">
        <f t="shared" si="45"/>
        <v>0</v>
      </c>
      <c r="R166" s="355"/>
      <c r="S166" s="273">
        <v>0</v>
      </c>
      <c r="T166" s="273">
        <v>0</v>
      </c>
      <c r="U166" s="310">
        <f t="shared" si="46"/>
        <v>0</v>
      </c>
      <c r="V166" s="297">
        <f t="shared" si="53"/>
        <v>0</v>
      </c>
      <c r="W166" s="290"/>
      <c r="X166" s="251">
        <v>150000</v>
      </c>
      <c r="Y166" s="273">
        <v>0</v>
      </c>
      <c r="Z166" s="310">
        <f t="shared" si="54"/>
        <v>150000</v>
      </c>
      <c r="AA166" s="321"/>
      <c r="AB166" s="273">
        <v>130000</v>
      </c>
      <c r="AC166" s="273">
        <v>0</v>
      </c>
      <c r="AD166" s="310">
        <f t="shared" si="55"/>
        <v>130000</v>
      </c>
      <c r="AE166" s="297">
        <f t="shared" si="52"/>
        <v>280000</v>
      </c>
      <c r="AF166" s="292"/>
      <c r="AG166" s="336">
        <f t="shared" si="56"/>
        <v>280000</v>
      </c>
    </row>
    <row r="167" spans="1:33" s="236" customFormat="1" ht="15" customHeight="1">
      <c r="A167" s="239" t="s">
        <v>1209</v>
      </c>
      <c r="B167" s="250" t="s">
        <v>233</v>
      </c>
      <c r="C167" s="250" t="s">
        <v>1524</v>
      </c>
      <c r="D167" s="273">
        <v>0</v>
      </c>
      <c r="E167" s="273">
        <v>0</v>
      </c>
      <c r="F167" s="273">
        <f t="shared" si="43"/>
        <v>0</v>
      </c>
      <c r="G167" s="273">
        <v>0</v>
      </c>
      <c r="H167" s="310">
        <f t="shared" si="57"/>
        <v>0</v>
      </c>
      <c r="I167" s="290"/>
      <c r="J167" s="273">
        <v>44000</v>
      </c>
      <c r="K167" s="273">
        <v>0</v>
      </c>
      <c r="L167" s="310">
        <f t="shared" si="44"/>
        <v>44000</v>
      </c>
      <c r="M167" s="297">
        <f t="shared" si="58"/>
        <v>44000</v>
      </c>
      <c r="N167" s="290"/>
      <c r="O167" s="273">
        <v>0</v>
      </c>
      <c r="P167" s="273">
        <v>0</v>
      </c>
      <c r="Q167" s="310">
        <f t="shared" si="45"/>
        <v>0</v>
      </c>
      <c r="R167" s="355"/>
      <c r="S167" s="273">
        <v>0</v>
      </c>
      <c r="T167" s="273">
        <v>0</v>
      </c>
      <c r="U167" s="310">
        <f t="shared" si="46"/>
        <v>0</v>
      </c>
      <c r="V167" s="297">
        <f t="shared" si="53"/>
        <v>0</v>
      </c>
      <c r="W167" s="290"/>
      <c r="X167" s="273">
        <v>250000</v>
      </c>
      <c r="Y167" s="273">
        <v>0</v>
      </c>
      <c r="Z167" s="310">
        <f t="shared" si="54"/>
        <v>250000</v>
      </c>
      <c r="AA167" s="321"/>
      <c r="AB167" s="273">
        <v>0</v>
      </c>
      <c r="AC167" s="273">
        <v>0</v>
      </c>
      <c r="AD167" s="310">
        <f t="shared" si="55"/>
        <v>0</v>
      </c>
      <c r="AE167" s="297">
        <f t="shared" si="52"/>
        <v>250000</v>
      </c>
      <c r="AF167" s="290"/>
      <c r="AG167" s="334">
        <f t="shared" si="56"/>
        <v>294000</v>
      </c>
    </row>
    <row r="168" spans="1:33" s="236" customFormat="1" ht="15" customHeight="1">
      <c r="A168" s="239" t="s">
        <v>1210</v>
      </c>
      <c r="B168" s="250" t="s">
        <v>230</v>
      </c>
      <c r="C168" s="250" t="s">
        <v>231</v>
      </c>
      <c r="D168" s="273">
        <v>1980000</v>
      </c>
      <c r="E168" s="273">
        <v>0</v>
      </c>
      <c r="F168" s="273">
        <f t="shared" si="43"/>
        <v>1980000</v>
      </c>
      <c r="G168" s="273">
        <v>0</v>
      </c>
      <c r="H168" s="310">
        <f t="shared" si="57"/>
        <v>1980000</v>
      </c>
      <c r="I168" s="290"/>
      <c r="J168" s="273">
        <v>0</v>
      </c>
      <c r="K168" s="273">
        <v>0</v>
      </c>
      <c r="L168" s="310">
        <f t="shared" si="44"/>
        <v>0</v>
      </c>
      <c r="M168" s="297">
        <f t="shared" si="58"/>
        <v>1980000</v>
      </c>
      <c r="N168" s="290"/>
      <c r="O168" s="273">
        <v>0</v>
      </c>
      <c r="P168" s="273">
        <v>0</v>
      </c>
      <c r="Q168" s="310">
        <f t="shared" si="45"/>
        <v>0</v>
      </c>
      <c r="R168" s="355"/>
      <c r="S168" s="273">
        <v>0</v>
      </c>
      <c r="T168" s="273">
        <v>0</v>
      </c>
      <c r="U168" s="310">
        <f t="shared" si="46"/>
        <v>0</v>
      </c>
      <c r="V168" s="297">
        <f t="shared" si="53"/>
        <v>0</v>
      </c>
      <c r="W168" s="290"/>
      <c r="X168" s="273">
        <v>0</v>
      </c>
      <c r="Y168" s="273">
        <v>0</v>
      </c>
      <c r="Z168" s="310">
        <f t="shared" si="54"/>
        <v>0</v>
      </c>
      <c r="AA168" s="321"/>
      <c r="AB168" s="273">
        <v>0</v>
      </c>
      <c r="AC168" s="273">
        <v>0</v>
      </c>
      <c r="AD168" s="310">
        <f t="shared" si="55"/>
        <v>0</v>
      </c>
      <c r="AE168" s="297">
        <f t="shared" si="52"/>
        <v>0</v>
      </c>
      <c r="AF168" s="290"/>
      <c r="AG168" s="334">
        <f t="shared" si="56"/>
        <v>1980000</v>
      </c>
    </row>
    <row r="169" spans="1:33" ht="15" customHeight="1">
      <c r="A169" s="239" t="s">
        <v>1211</v>
      </c>
      <c r="B169" s="261" t="s">
        <v>932</v>
      </c>
      <c r="C169" s="261" t="s">
        <v>1542</v>
      </c>
      <c r="D169" s="264">
        <f>SUM(D170:D182)</f>
        <v>653000</v>
      </c>
      <c r="E169" s="264">
        <f>SUM(E170:E182)</f>
        <v>0</v>
      </c>
      <c r="F169" s="264">
        <f aca="true" t="shared" si="59" ref="F169:F182">SUM(D169:E169)</f>
        <v>653000</v>
      </c>
      <c r="G169" s="264">
        <f>SUM(G170:G182)</f>
        <v>0</v>
      </c>
      <c r="H169" s="312">
        <f t="shared" si="57"/>
        <v>653000</v>
      </c>
      <c r="I169" s="292"/>
      <c r="J169" s="264">
        <f>SUM(J170:J182)</f>
        <v>0</v>
      </c>
      <c r="K169" s="264">
        <f>SUM(K170:K182)</f>
        <v>0</v>
      </c>
      <c r="L169" s="312">
        <f aca="true" t="shared" si="60" ref="L169:L182">SUM(J169:K169)</f>
        <v>0</v>
      </c>
      <c r="M169" s="299">
        <f t="shared" si="58"/>
        <v>653000</v>
      </c>
      <c r="N169" s="292"/>
      <c r="O169" s="264">
        <f>SUM(O170:O182)</f>
        <v>8919000</v>
      </c>
      <c r="P169" s="264">
        <f>SUM(P170:P182)</f>
        <v>0</v>
      </c>
      <c r="Q169" s="312">
        <f aca="true" t="shared" si="61" ref="Q169:Q182">SUM(O169:P169)</f>
        <v>8919000</v>
      </c>
      <c r="R169" s="353"/>
      <c r="S169" s="264">
        <f>SUM(S170:S182)</f>
        <v>1060000</v>
      </c>
      <c r="T169" s="264">
        <f>SUM(T170:T182)</f>
        <v>0</v>
      </c>
      <c r="U169" s="312">
        <f aca="true" t="shared" si="62" ref="U169:U182">SUM(S169:T169)</f>
        <v>1060000</v>
      </c>
      <c r="V169" s="299">
        <f t="shared" si="53"/>
        <v>9979000</v>
      </c>
      <c r="W169" s="292"/>
      <c r="X169" s="264">
        <f>SUM(X170:X182)</f>
        <v>3300000</v>
      </c>
      <c r="Y169" s="264">
        <f>SUM(Y170:Y182)</f>
        <v>0</v>
      </c>
      <c r="Z169" s="312">
        <f t="shared" si="54"/>
        <v>3300000</v>
      </c>
      <c r="AA169" s="323"/>
      <c r="AB169" s="264">
        <f>SUM(AB170:AB182)</f>
        <v>920000</v>
      </c>
      <c r="AC169" s="264">
        <f>SUM(AC170:AC182)</f>
        <v>0</v>
      </c>
      <c r="AD169" s="312">
        <f t="shared" si="55"/>
        <v>920000</v>
      </c>
      <c r="AE169" s="299">
        <f t="shared" si="52"/>
        <v>4220000</v>
      </c>
      <c r="AF169" s="292"/>
      <c r="AG169" s="336">
        <f t="shared" si="56"/>
        <v>14852000</v>
      </c>
    </row>
    <row r="170" spans="1:33" ht="15" customHeight="1">
      <c r="A170" s="239" t="s">
        <v>1212</v>
      </c>
      <c r="B170" s="252" t="s">
        <v>236</v>
      </c>
      <c r="C170" s="252" t="s">
        <v>1530</v>
      </c>
      <c r="D170" s="251">
        <v>0</v>
      </c>
      <c r="E170" s="251">
        <v>0</v>
      </c>
      <c r="F170" s="251">
        <f t="shared" si="59"/>
        <v>0</v>
      </c>
      <c r="G170" s="251">
        <v>0</v>
      </c>
      <c r="H170" s="310">
        <f t="shared" si="57"/>
        <v>0</v>
      </c>
      <c r="I170" s="290"/>
      <c r="J170" s="251">
        <v>0</v>
      </c>
      <c r="K170" s="251">
        <v>0</v>
      </c>
      <c r="L170" s="310">
        <f t="shared" si="60"/>
        <v>0</v>
      </c>
      <c r="M170" s="297">
        <f t="shared" si="58"/>
        <v>0</v>
      </c>
      <c r="N170" s="290"/>
      <c r="O170" s="251"/>
      <c r="P170" s="251">
        <v>0</v>
      </c>
      <c r="Q170" s="310">
        <f t="shared" si="61"/>
        <v>0</v>
      </c>
      <c r="R170" s="355"/>
      <c r="S170" s="251">
        <v>0</v>
      </c>
      <c r="T170" s="251">
        <v>0</v>
      </c>
      <c r="U170" s="310">
        <f t="shared" si="62"/>
        <v>0</v>
      </c>
      <c r="V170" s="297">
        <f t="shared" si="53"/>
        <v>0</v>
      </c>
      <c r="W170" s="290"/>
      <c r="X170" s="251">
        <v>0</v>
      </c>
      <c r="Y170" s="251">
        <v>0</v>
      </c>
      <c r="Z170" s="310">
        <f t="shared" si="54"/>
        <v>0</v>
      </c>
      <c r="AA170" s="321"/>
      <c r="AB170" s="251">
        <v>50000</v>
      </c>
      <c r="AC170" s="251"/>
      <c r="AD170" s="310">
        <f t="shared" si="55"/>
        <v>50000</v>
      </c>
      <c r="AE170" s="297">
        <f t="shared" si="52"/>
        <v>50000</v>
      </c>
      <c r="AF170" s="292"/>
      <c r="AG170" s="336">
        <f t="shared" si="56"/>
        <v>50000</v>
      </c>
    </row>
    <row r="171" spans="1:33" s="236" customFormat="1" ht="15" customHeight="1">
      <c r="A171" s="239" t="s">
        <v>1213</v>
      </c>
      <c r="B171" s="250" t="s">
        <v>22</v>
      </c>
      <c r="C171" s="252" t="s">
        <v>1527</v>
      </c>
      <c r="D171" s="273">
        <v>0</v>
      </c>
      <c r="E171" s="273">
        <v>0</v>
      </c>
      <c r="F171" s="273">
        <f t="shared" si="59"/>
        <v>0</v>
      </c>
      <c r="G171" s="273">
        <v>0</v>
      </c>
      <c r="H171" s="310">
        <f t="shared" si="57"/>
        <v>0</v>
      </c>
      <c r="I171" s="290"/>
      <c r="J171" s="273">
        <v>0</v>
      </c>
      <c r="K171" s="273">
        <v>0</v>
      </c>
      <c r="L171" s="310">
        <f t="shared" si="60"/>
        <v>0</v>
      </c>
      <c r="M171" s="297">
        <f t="shared" si="58"/>
        <v>0</v>
      </c>
      <c r="N171" s="290"/>
      <c r="O171" s="273"/>
      <c r="P171" s="273">
        <v>0</v>
      </c>
      <c r="Q171" s="310">
        <f t="shared" si="61"/>
        <v>0</v>
      </c>
      <c r="R171" s="355"/>
      <c r="S171" s="273">
        <v>0</v>
      </c>
      <c r="T171" s="273">
        <v>0</v>
      </c>
      <c r="U171" s="310">
        <f t="shared" si="62"/>
        <v>0</v>
      </c>
      <c r="V171" s="297">
        <f t="shared" si="53"/>
        <v>0</v>
      </c>
      <c r="W171" s="290"/>
      <c r="X171" s="273">
        <v>0</v>
      </c>
      <c r="Y171" s="273">
        <v>0</v>
      </c>
      <c r="Z171" s="310">
        <f t="shared" si="54"/>
        <v>0</v>
      </c>
      <c r="AA171" s="321"/>
      <c r="AB171" s="273">
        <v>480000</v>
      </c>
      <c r="AC171" s="273">
        <v>0</v>
      </c>
      <c r="AD171" s="310">
        <f t="shared" si="55"/>
        <v>480000</v>
      </c>
      <c r="AE171" s="297">
        <f t="shared" si="52"/>
        <v>480000</v>
      </c>
      <c r="AF171" s="290"/>
      <c r="AG171" s="334">
        <f t="shared" si="56"/>
        <v>480000</v>
      </c>
    </row>
    <row r="172" spans="1:33" s="236" customFormat="1" ht="15" customHeight="1">
      <c r="A172" s="239" t="s">
        <v>1214</v>
      </c>
      <c r="B172" s="252" t="s">
        <v>237</v>
      </c>
      <c r="C172" s="252" t="s">
        <v>1302</v>
      </c>
      <c r="D172" s="251">
        <v>0</v>
      </c>
      <c r="E172" s="251">
        <v>0</v>
      </c>
      <c r="F172" s="251">
        <f t="shared" si="59"/>
        <v>0</v>
      </c>
      <c r="G172" s="251">
        <v>0</v>
      </c>
      <c r="H172" s="310">
        <f t="shared" si="57"/>
        <v>0</v>
      </c>
      <c r="I172" s="290"/>
      <c r="J172" s="251">
        <v>0</v>
      </c>
      <c r="K172" s="251">
        <v>0</v>
      </c>
      <c r="L172" s="310">
        <f t="shared" si="60"/>
        <v>0</v>
      </c>
      <c r="M172" s="297">
        <f t="shared" si="58"/>
        <v>0</v>
      </c>
      <c r="N172" s="290"/>
      <c r="O172" s="273"/>
      <c r="P172" s="251">
        <v>0</v>
      </c>
      <c r="Q172" s="310">
        <f t="shared" si="61"/>
        <v>0</v>
      </c>
      <c r="R172" s="355"/>
      <c r="S172" s="251">
        <v>0</v>
      </c>
      <c r="T172" s="251">
        <v>0</v>
      </c>
      <c r="U172" s="310">
        <f t="shared" si="62"/>
        <v>0</v>
      </c>
      <c r="V172" s="297">
        <f t="shared" si="53"/>
        <v>0</v>
      </c>
      <c r="W172" s="290"/>
      <c r="X172" s="273">
        <v>0</v>
      </c>
      <c r="Y172" s="251">
        <v>0</v>
      </c>
      <c r="Z172" s="310">
        <f t="shared" si="54"/>
        <v>0</v>
      </c>
      <c r="AA172" s="321"/>
      <c r="AB172" s="251">
        <v>50000</v>
      </c>
      <c r="AC172" s="251">
        <v>0</v>
      </c>
      <c r="AD172" s="310">
        <f t="shared" si="55"/>
        <v>50000</v>
      </c>
      <c r="AE172" s="297">
        <f t="shared" si="52"/>
        <v>50000</v>
      </c>
      <c r="AF172" s="290"/>
      <c r="AG172" s="334">
        <f t="shared" si="56"/>
        <v>50000</v>
      </c>
    </row>
    <row r="173" spans="1:33" s="236" customFormat="1" ht="15" customHeight="1">
      <c r="A173" s="239" t="s">
        <v>1215</v>
      </c>
      <c r="B173" s="250" t="s">
        <v>238</v>
      </c>
      <c r="C173" s="252" t="s">
        <v>1523</v>
      </c>
      <c r="D173" s="273">
        <v>0</v>
      </c>
      <c r="E173" s="273">
        <v>0</v>
      </c>
      <c r="F173" s="273">
        <f t="shared" si="59"/>
        <v>0</v>
      </c>
      <c r="G173" s="273">
        <v>0</v>
      </c>
      <c r="H173" s="310">
        <f t="shared" si="57"/>
        <v>0</v>
      </c>
      <c r="I173" s="290"/>
      <c r="J173" s="273">
        <v>0</v>
      </c>
      <c r="K173" s="273">
        <v>0</v>
      </c>
      <c r="L173" s="310">
        <f t="shared" si="60"/>
        <v>0</v>
      </c>
      <c r="M173" s="297">
        <f t="shared" si="58"/>
        <v>0</v>
      </c>
      <c r="N173" s="290"/>
      <c r="O173" s="273"/>
      <c r="P173" s="273">
        <v>0</v>
      </c>
      <c r="Q173" s="310">
        <f t="shared" si="61"/>
        <v>0</v>
      </c>
      <c r="R173" s="355"/>
      <c r="S173" s="273">
        <v>0</v>
      </c>
      <c r="T173" s="273">
        <v>0</v>
      </c>
      <c r="U173" s="310">
        <f t="shared" si="62"/>
        <v>0</v>
      </c>
      <c r="V173" s="297">
        <f t="shared" si="53"/>
        <v>0</v>
      </c>
      <c r="W173" s="290"/>
      <c r="X173" s="273">
        <v>300000</v>
      </c>
      <c r="Y173" s="273">
        <v>0</v>
      </c>
      <c r="Z173" s="310">
        <f t="shared" si="54"/>
        <v>300000</v>
      </c>
      <c r="AA173" s="321"/>
      <c r="AB173" s="273">
        <v>0</v>
      </c>
      <c r="AC173" s="273">
        <v>0</v>
      </c>
      <c r="AD173" s="310">
        <f t="shared" si="55"/>
        <v>0</v>
      </c>
      <c r="AE173" s="297">
        <f t="shared" si="52"/>
        <v>300000</v>
      </c>
      <c r="AF173" s="290"/>
      <c r="AG173" s="334">
        <f t="shared" si="56"/>
        <v>300000</v>
      </c>
    </row>
    <row r="174" spans="1:33" s="236" customFormat="1" ht="15" customHeight="1">
      <c r="A174" s="239" t="s">
        <v>1216</v>
      </c>
      <c r="B174" s="250" t="s">
        <v>239</v>
      </c>
      <c r="C174" s="252" t="s">
        <v>1529</v>
      </c>
      <c r="D174" s="273">
        <v>0</v>
      </c>
      <c r="E174" s="273">
        <v>0</v>
      </c>
      <c r="F174" s="273">
        <f t="shared" si="59"/>
        <v>0</v>
      </c>
      <c r="G174" s="273">
        <v>0</v>
      </c>
      <c r="H174" s="310">
        <f t="shared" si="57"/>
        <v>0</v>
      </c>
      <c r="I174" s="290"/>
      <c r="J174" s="273">
        <v>0</v>
      </c>
      <c r="K174" s="273">
        <v>0</v>
      </c>
      <c r="L174" s="310">
        <f t="shared" si="60"/>
        <v>0</v>
      </c>
      <c r="M174" s="297">
        <f t="shared" si="58"/>
        <v>0</v>
      </c>
      <c r="N174" s="290"/>
      <c r="O174" s="273"/>
      <c r="P174" s="273">
        <v>0</v>
      </c>
      <c r="Q174" s="310">
        <f t="shared" si="61"/>
        <v>0</v>
      </c>
      <c r="R174" s="355"/>
      <c r="S174" s="273">
        <v>0</v>
      </c>
      <c r="T174" s="273">
        <v>0</v>
      </c>
      <c r="U174" s="310">
        <f t="shared" si="62"/>
        <v>0</v>
      </c>
      <c r="V174" s="297">
        <f t="shared" si="53"/>
        <v>0</v>
      </c>
      <c r="W174" s="290"/>
      <c r="X174" s="273">
        <v>0</v>
      </c>
      <c r="Y174" s="273">
        <v>0</v>
      </c>
      <c r="Z174" s="310">
        <f t="shared" si="54"/>
        <v>0</v>
      </c>
      <c r="AA174" s="321"/>
      <c r="AB174" s="273">
        <v>240000</v>
      </c>
      <c r="AC174" s="273">
        <v>0</v>
      </c>
      <c r="AD174" s="310">
        <f t="shared" si="55"/>
        <v>240000</v>
      </c>
      <c r="AE174" s="297">
        <f t="shared" si="52"/>
        <v>240000</v>
      </c>
      <c r="AF174" s="290"/>
      <c r="AG174" s="334">
        <f t="shared" si="56"/>
        <v>240000</v>
      </c>
    </row>
    <row r="175" spans="1:33" s="236" customFormat="1" ht="15" customHeight="1">
      <c r="A175" s="239" t="s">
        <v>1217</v>
      </c>
      <c r="B175" s="250" t="s">
        <v>240</v>
      </c>
      <c r="C175" s="250" t="s">
        <v>1528</v>
      </c>
      <c r="D175" s="273">
        <v>0</v>
      </c>
      <c r="E175" s="273">
        <v>0</v>
      </c>
      <c r="F175" s="273">
        <f t="shared" si="59"/>
        <v>0</v>
      </c>
      <c r="G175" s="273">
        <v>0</v>
      </c>
      <c r="H175" s="310">
        <f t="shared" si="57"/>
        <v>0</v>
      </c>
      <c r="I175" s="290"/>
      <c r="J175" s="273">
        <v>0</v>
      </c>
      <c r="K175" s="273">
        <v>0</v>
      </c>
      <c r="L175" s="310">
        <f t="shared" si="60"/>
        <v>0</v>
      </c>
      <c r="M175" s="297">
        <f t="shared" si="58"/>
        <v>0</v>
      </c>
      <c r="N175" s="290"/>
      <c r="O175" s="273">
        <v>0</v>
      </c>
      <c r="P175" s="273">
        <v>0</v>
      </c>
      <c r="Q175" s="310">
        <f t="shared" si="61"/>
        <v>0</v>
      </c>
      <c r="R175" s="355"/>
      <c r="S175" s="273">
        <v>0</v>
      </c>
      <c r="T175" s="273">
        <v>0</v>
      </c>
      <c r="U175" s="310">
        <f t="shared" si="62"/>
        <v>0</v>
      </c>
      <c r="V175" s="297">
        <f t="shared" si="53"/>
        <v>0</v>
      </c>
      <c r="W175" s="290"/>
      <c r="X175" s="273">
        <v>0</v>
      </c>
      <c r="Y175" s="273">
        <v>0</v>
      </c>
      <c r="Z175" s="310">
        <f t="shared" si="54"/>
        <v>0</v>
      </c>
      <c r="AA175" s="321"/>
      <c r="AB175" s="273">
        <v>100000</v>
      </c>
      <c r="AC175" s="273">
        <v>0</v>
      </c>
      <c r="AD175" s="310">
        <f t="shared" si="55"/>
        <v>100000</v>
      </c>
      <c r="AE175" s="297">
        <f t="shared" si="52"/>
        <v>100000</v>
      </c>
      <c r="AF175" s="290"/>
      <c r="AG175" s="334">
        <f t="shared" si="56"/>
        <v>100000</v>
      </c>
    </row>
    <row r="176" spans="1:33" s="236" customFormat="1" ht="15" customHeight="1">
      <c r="A176" s="239" t="s">
        <v>1218</v>
      </c>
      <c r="B176" s="250" t="s">
        <v>241</v>
      </c>
      <c r="C176" s="252" t="s">
        <v>1071</v>
      </c>
      <c r="D176" s="273">
        <v>0</v>
      </c>
      <c r="E176" s="273">
        <v>0</v>
      </c>
      <c r="F176" s="273">
        <f t="shared" si="59"/>
        <v>0</v>
      </c>
      <c r="G176" s="273">
        <v>0</v>
      </c>
      <c r="H176" s="310">
        <f t="shared" si="57"/>
        <v>0</v>
      </c>
      <c r="I176" s="290"/>
      <c r="J176" s="273">
        <v>0</v>
      </c>
      <c r="K176" s="273">
        <v>0</v>
      </c>
      <c r="L176" s="310">
        <f t="shared" si="60"/>
        <v>0</v>
      </c>
      <c r="M176" s="297">
        <f t="shared" si="58"/>
        <v>0</v>
      </c>
      <c r="N176" s="290"/>
      <c r="O176" s="273">
        <v>0</v>
      </c>
      <c r="P176" s="273">
        <v>0</v>
      </c>
      <c r="Q176" s="310">
        <f t="shared" si="61"/>
        <v>0</v>
      </c>
      <c r="R176" s="355"/>
      <c r="S176" s="273">
        <v>0</v>
      </c>
      <c r="T176" s="273">
        <v>0</v>
      </c>
      <c r="U176" s="310">
        <f t="shared" si="62"/>
        <v>0</v>
      </c>
      <c r="V176" s="297">
        <f t="shared" si="53"/>
        <v>0</v>
      </c>
      <c r="W176" s="290"/>
      <c r="X176" s="273">
        <v>2000000</v>
      </c>
      <c r="Y176" s="273">
        <v>0</v>
      </c>
      <c r="Z176" s="310">
        <f t="shared" si="54"/>
        <v>2000000</v>
      </c>
      <c r="AA176" s="321"/>
      <c r="AB176" s="273">
        <v>0</v>
      </c>
      <c r="AC176" s="273">
        <v>0</v>
      </c>
      <c r="AD176" s="310">
        <f t="shared" si="55"/>
        <v>0</v>
      </c>
      <c r="AE176" s="297">
        <f t="shared" si="52"/>
        <v>2000000</v>
      </c>
      <c r="AF176" s="290"/>
      <c r="AG176" s="334">
        <f t="shared" si="56"/>
        <v>2000000</v>
      </c>
    </row>
    <row r="177" spans="1:33" s="236" customFormat="1" ht="15" customHeight="1">
      <c r="A177" s="239" t="s">
        <v>1219</v>
      </c>
      <c r="B177" s="250" t="s">
        <v>242</v>
      </c>
      <c r="C177" s="252" t="s">
        <v>1520</v>
      </c>
      <c r="D177" s="273">
        <v>0</v>
      </c>
      <c r="E177" s="273">
        <v>0</v>
      </c>
      <c r="F177" s="273">
        <f t="shared" si="59"/>
        <v>0</v>
      </c>
      <c r="G177" s="273">
        <v>0</v>
      </c>
      <c r="H177" s="310">
        <f t="shared" si="57"/>
        <v>0</v>
      </c>
      <c r="I177" s="290"/>
      <c r="J177" s="273">
        <v>0</v>
      </c>
      <c r="K177" s="273">
        <v>0</v>
      </c>
      <c r="L177" s="310">
        <f t="shared" si="60"/>
        <v>0</v>
      </c>
      <c r="M177" s="297">
        <f t="shared" si="58"/>
        <v>0</v>
      </c>
      <c r="N177" s="290"/>
      <c r="O177" s="251">
        <v>204000</v>
      </c>
      <c r="P177" s="273">
        <v>0</v>
      </c>
      <c r="Q177" s="310">
        <f t="shared" si="61"/>
        <v>204000</v>
      </c>
      <c r="R177" s="355"/>
      <c r="S177" s="273">
        <v>0</v>
      </c>
      <c r="T177" s="273">
        <v>0</v>
      </c>
      <c r="U177" s="310">
        <f t="shared" si="62"/>
        <v>0</v>
      </c>
      <c r="V177" s="297">
        <f t="shared" si="53"/>
        <v>204000</v>
      </c>
      <c r="W177" s="290"/>
      <c r="X177" s="273">
        <v>0</v>
      </c>
      <c r="Y177" s="273">
        <v>0</v>
      </c>
      <c r="Z177" s="310">
        <f t="shared" si="54"/>
        <v>0</v>
      </c>
      <c r="AA177" s="321"/>
      <c r="AB177" s="273">
        <v>0</v>
      </c>
      <c r="AC177" s="273">
        <v>0</v>
      </c>
      <c r="AD177" s="310">
        <f t="shared" si="55"/>
        <v>0</v>
      </c>
      <c r="AE177" s="297">
        <f t="shared" si="52"/>
        <v>0</v>
      </c>
      <c r="AF177" s="290"/>
      <c r="AG177" s="334">
        <f t="shared" si="56"/>
        <v>204000</v>
      </c>
    </row>
    <row r="178" spans="1:33" s="236" customFormat="1" ht="15" customHeight="1">
      <c r="A178" s="239" t="s">
        <v>1220</v>
      </c>
      <c r="B178" s="250" t="s">
        <v>243</v>
      </c>
      <c r="C178" s="252" t="s">
        <v>1521</v>
      </c>
      <c r="D178" s="273">
        <v>0</v>
      </c>
      <c r="E178" s="273">
        <v>0</v>
      </c>
      <c r="F178" s="273">
        <f t="shared" si="59"/>
        <v>0</v>
      </c>
      <c r="G178" s="273">
        <v>0</v>
      </c>
      <c r="H178" s="310">
        <f t="shared" si="57"/>
        <v>0</v>
      </c>
      <c r="I178" s="290"/>
      <c r="J178" s="273">
        <v>0</v>
      </c>
      <c r="K178" s="273">
        <v>0</v>
      </c>
      <c r="L178" s="310">
        <f t="shared" si="60"/>
        <v>0</v>
      </c>
      <c r="M178" s="297">
        <f t="shared" si="58"/>
        <v>0</v>
      </c>
      <c r="N178" s="290"/>
      <c r="O178" s="273">
        <f>250000+1200000</f>
        <v>1450000</v>
      </c>
      <c r="P178" s="273">
        <v>0</v>
      </c>
      <c r="Q178" s="310">
        <f t="shared" si="61"/>
        <v>1450000</v>
      </c>
      <c r="R178" s="355"/>
      <c r="S178" s="273">
        <v>0</v>
      </c>
      <c r="T178" s="273">
        <v>0</v>
      </c>
      <c r="U178" s="310">
        <f t="shared" si="62"/>
        <v>0</v>
      </c>
      <c r="V178" s="297">
        <f t="shared" si="53"/>
        <v>1450000</v>
      </c>
      <c r="W178" s="290"/>
      <c r="X178" s="273">
        <v>0</v>
      </c>
      <c r="Y178" s="273">
        <v>0</v>
      </c>
      <c r="Z178" s="310">
        <f t="shared" si="54"/>
        <v>0</v>
      </c>
      <c r="AA178" s="321"/>
      <c r="AB178" s="273">
        <v>0</v>
      </c>
      <c r="AC178" s="273">
        <v>0</v>
      </c>
      <c r="AD178" s="310">
        <f t="shared" si="55"/>
        <v>0</v>
      </c>
      <c r="AE178" s="297">
        <f t="shared" si="52"/>
        <v>0</v>
      </c>
      <c r="AF178" s="290"/>
      <c r="AG178" s="334">
        <f t="shared" si="56"/>
        <v>1450000</v>
      </c>
    </row>
    <row r="179" spans="1:33" s="236" customFormat="1" ht="15" customHeight="1">
      <c r="A179" s="239"/>
      <c r="B179" s="250" t="s">
        <v>244</v>
      </c>
      <c r="C179" s="252" t="s">
        <v>1516</v>
      </c>
      <c r="D179" s="273">
        <v>0</v>
      </c>
      <c r="E179" s="273">
        <v>0</v>
      </c>
      <c r="F179" s="273">
        <f>SUM(D179:E179)</f>
        <v>0</v>
      </c>
      <c r="G179" s="273"/>
      <c r="H179" s="310">
        <f t="shared" si="57"/>
        <v>0</v>
      </c>
      <c r="I179" s="290"/>
      <c r="J179" s="273">
        <v>0</v>
      </c>
      <c r="K179" s="273">
        <v>0</v>
      </c>
      <c r="L179" s="310">
        <f>SUM(J179:K179)</f>
        <v>0</v>
      </c>
      <c r="M179" s="297">
        <f>H179+L179</f>
        <v>0</v>
      </c>
      <c r="N179" s="290"/>
      <c r="O179" s="273"/>
      <c r="P179" s="273"/>
      <c r="Q179" s="310">
        <f t="shared" si="61"/>
        <v>0</v>
      </c>
      <c r="R179" s="355"/>
      <c r="S179" s="273"/>
      <c r="T179" s="273"/>
      <c r="U179" s="310">
        <f>SUM(S179:T179)</f>
        <v>0</v>
      </c>
      <c r="V179" s="297">
        <f t="shared" si="53"/>
        <v>0</v>
      </c>
      <c r="W179" s="290"/>
      <c r="X179" s="273">
        <v>300000</v>
      </c>
      <c r="Y179" s="273"/>
      <c r="Z179" s="310">
        <f t="shared" si="54"/>
        <v>300000</v>
      </c>
      <c r="AA179" s="321"/>
      <c r="AB179" s="273"/>
      <c r="AC179" s="273"/>
      <c r="AD179" s="310"/>
      <c r="AE179" s="297">
        <f t="shared" si="52"/>
        <v>300000</v>
      </c>
      <c r="AF179" s="290"/>
      <c r="AG179" s="334">
        <f t="shared" si="56"/>
        <v>300000</v>
      </c>
    </row>
    <row r="180" spans="1:33" s="10" customFormat="1" ht="15" customHeight="1">
      <c r="A180" s="239" t="s">
        <v>1221</v>
      </c>
      <c r="B180" s="250" t="s">
        <v>245</v>
      </c>
      <c r="C180" s="252" t="s">
        <v>1522</v>
      </c>
      <c r="D180" s="273">
        <v>0</v>
      </c>
      <c r="E180" s="273">
        <v>0</v>
      </c>
      <c r="F180" s="273">
        <f t="shared" si="59"/>
        <v>0</v>
      </c>
      <c r="G180" s="273">
        <v>0</v>
      </c>
      <c r="H180" s="310">
        <f t="shared" si="57"/>
        <v>0</v>
      </c>
      <c r="I180" s="290"/>
      <c r="J180" s="273">
        <v>0</v>
      </c>
      <c r="K180" s="273">
        <v>0</v>
      </c>
      <c r="L180" s="310">
        <f t="shared" si="60"/>
        <v>0</v>
      </c>
      <c r="M180" s="297">
        <f t="shared" si="58"/>
        <v>0</v>
      </c>
      <c r="N180" s="290"/>
      <c r="O180" s="273">
        <f>3340000+3425000+1200000-500000-200000</f>
        <v>7265000</v>
      </c>
      <c r="P180" s="273">
        <v>0</v>
      </c>
      <c r="Q180" s="310">
        <f t="shared" si="61"/>
        <v>7265000</v>
      </c>
      <c r="R180" s="355"/>
      <c r="S180" s="273">
        <v>1060000</v>
      </c>
      <c r="T180" s="273">
        <v>0</v>
      </c>
      <c r="U180" s="310">
        <f t="shared" si="62"/>
        <v>1060000</v>
      </c>
      <c r="V180" s="297">
        <f t="shared" si="53"/>
        <v>8325000</v>
      </c>
      <c r="W180" s="290"/>
      <c r="X180" s="273">
        <v>0</v>
      </c>
      <c r="Y180" s="273">
        <v>0</v>
      </c>
      <c r="Z180" s="310">
        <f t="shared" si="54"/>
        <v>0</v>
      </c>
      <c r="AA180" s="321"/>
      <c r="AB180" s="273">
        <v>0</v>
      </c>
      <c r="AC180" s="273">
        <v>0</v>
      </c>
      <c r="AD180" s="310">
        <f t="shared" si="55"/>
        <v>0</v>
      </c>
      <c r="AE180" s="297">
        <f t="shared" si="52"/>
        <v>0</v>
      </c>
      <c r="AF180" s="289"/>
      <c r="AG180" s="334">
        <f t="shared" si="56"/>
        <v>8325000</v>
      </c>
    </row>
    <row r="181" spans="1:33" ht="15" customHeight="1">
      <c r="A181" s="239" t="s">
        <v>1222</v>
      </c>
      <c r="B181" s="250" t="s">
        <v>1333</v>
      </c>
      <c r="C181" s="252" t="s">
        <v>1525</v>
      </c>
      <c r="D181" s="273">
        <v>0</v>
      </c>
      <c r="E181" s="273">
        <v>0</v>
      </c>
      <c r="F181" s="273">
        <f>SUM(D181:E181)</f>
        <v>0</v>
      </c>
      <c r="G181" s="273">
        <v>0</v>
      </c>
      <c r="H181" s="310">
        <f>F181+G181</f>
        <v>0</v>
      </c>
      <c r="I181" s="290"/>
      <c r="J181" s="273">
        <v>0</v>
      </c>
      <c r="K181" s="273">
        <v>0</v>
      </c>
      <c r="L181" s="310">
        <f>SUM(J181:K181)</f>
        <v>0</v>
      </c>
      <c r="M181" s="297">
        <f>H181+L181</f>
        <v>0</v>
      </c>
      <c r="N181" s="290"/>
      <c r="O181" s="273"/>
      <c r="P181" s="273">
        <v>0</v>
      </c>
      <c r="Q181" s="310">
        <f>SUM(O181:P181)</f>
        <v>0</v>
      </c>
      <c r="R181" s="355"/>
      <c r="S181" s="273">
        <v>0</v>
      </c>
      <c r="T181" s="273">
        <v>0</v>
      </c>
      <c r="U181" s="310">
        <f>SUM(S181:T181)</f>
        <v>0</v>
      </c>
      <c r="V181" s="297">
        <f t="shared" si="53"/>
        <v>0</v>
      </c>
      <c r="W181" s="290"/>
      <c r="X181" s="273">
        <v>700000</v>
      </c>
      <c r="Y181" s="273">
        <v>0</v>
      </c>
      <c r="Z181" s="310">
        <f>SUM(X181:Y181)</f>
        <v>700000</v>
      </c>
      <c r="AA181" s="321"/>
      <c r="AB181" s="273">
        <v>0</v>
      </c>
      <c r="AC181" s="273">
        <v>0</v>
      </c>
      <c r="AD181" s="310">
        <f>SUM(AB181:AC181)</f>
        <v>0</v>
      </c>
      <c r="AE181" s="297">
        <f t="shared" si="52"/>
        <v>700000</v>
      </c>
      <c r="AF181" s="292"/>
      <c r="AG181" s="336">
        <f t="shared" si="56"/>
        <v>700000</v>
      </c>
    </row>
    <row r="182" spans="1:33" ht="15" customHeight="1">
      <c r="A182" s="239" t="s">
        <v>1222</v>
      </c>
      <c r="B182" s="250" t="s">
        <v>1333</v>
      </c>
      <c r="C182" s="252" t="s">
        <v>1533</v>
      </c>
      <c r="D182" s="273">
        <v>653000</v>
      </c>
      <c r="E182" s="273">
        <v>0</v>
      </c>
      <c r="F182" s="273">
        <f t="shared" si="59"/>
        <v>653000</v>
      </c>
      <c r="G182" s="273">
        <v>0</v>
      </c>
      <c r="H182" s="310">
        <f t="shared" si="57"/>
        <v>653000</v>
      </c>
      <c r="I182" s="290"/>
      <c r="J182" s="273">
        <v>0</v>
      </c>
      <c r="K182" s="273">
        <v>0</v>
      </c>
      <c r="L182" s="310">
        <f t="shared" si="60"/>
        <v>0</v>
      </c>
      <c r="M182" s="297">
        <f t="shared" si="58"/>
        <v>653000</v>
      </c>
      <c r="N182" s="290"/>
      <c r="O182" s="273">
        <v>0</v>
      </c>
      <c r="P182" s="273">
        <v>0</v>
      </c>
      <c r="Q182" s="310">
        <f t="shared" si="61"/>
        <v>0</v>
      </c>
      <c r="R182" s="355"/>
      <c r="S182" s="273">
        <v>0</v>
      </c>
      <c r="T182" s="273">
        <v>0</v>
      </c>
      <c r="U182" s="310">
        <f t="shared" si="62"/>
        <v>0</v>
      </c>
      <c r="V182" s="297">
        <f t="shared" si="53"/>
        <v>0</v>
      </c>
      <c r="W182" s="290"/>
      <c r="X182" s="273">
        <v>0</v>
      </c>
      <c r="Y182" s="273">
        <v>0</v>
      </c>
      <c r="Z182" s="310">
        <f t="shared" si="54"/>
        <v>0</v>
      </c>
      <c r="AA182" s="321"/>
      <c r="AB182" s="273">
        <v>0</v>
      </c>
      <c r="AC182" s="273">
        <v>0</v>
      </c>
      <c r="AD182" s="310">
        <f t="shared" si="55"/>
        <v>0</v>
      </c>
      <c r="AE182" s="297">
        <f t="shared" si="52"/>
        <v>0</v>
      </c>
      <c r="AF182" s="292"/>
      <c r="AG182" s="336">
        <f t="shared" si="56"/>
        <v>653000</v>
      </c>
    </row>
    <row r="183" spans="1:33" s="236" customFormat="1" ht="15" customHeight="1">
      <c r="A183" s="239" t="s">
        <v>1223</v>
      </c>
      <c r="B183" s="247" t="s">
        <v>474</v>
      </c>
      <c r="C183" s="247" t="s">
        <v>0</v>
      </c>
      <c r="D183" s="253">
        <f>D184+D185+D186+D187+D188+D189+D190+D191+D192+D193</f>
        <v>2464000</v>
      </c>
      <c r="E183" s="253">
        <f>E184+E185+E186+E187+E188+E189+E190+E191+E192+E193</f>
        <v>960000</v>
      </c>
      <c r="F183" s="253">
        <f t="shared" si="43"/>
        <v>3424000</v>
      </c>
      <c r="G183" s="253">
        <f>G184+G185+G186+G187+G188+G189+G190+G191+G192+G193</f>
        <v>0</v>
      </c>
      <c r="H183" s="309">
        <f>F183+G183</f>
        <v>3424000</v>
      </c>
      <c r="I183" s="289"/>
      <c r="J183" s="253">
        <f>J184+J185+J186+J187+J188+J189+J190+J191+J192+J193</f>
        <v>447000</v>
      </c>
      <c r="K183" s="253">
        <f>K184+K185+K186+K187+K188+K189+K190+K191+K192+K193</f>
        <v>0</v>
      </c>
      <c r="L183" s="309">
        <f t="shared" si="44"/>
        <v>447000</v>
      </c>
      <c r="M183" s="266">
        <f>H183+L183</f>
        <v>3871000</v>
      </c>
      <c r="N183" s="289"/>
      <c r="O183" s="253">
        <f>O184+O185+O186+O187+O188+O189+O190+O191+O192+O193</f>
        <v>320000</v>
      </c>
      <c r="P183" s="253">
        <f>P184+P185+P186+P187+P188+P189+P190+P191+P192+P193</f>
        <v>0</v>
      </c>
      <c r="Q183" s="309">
        <f t="shared" si="45"/>
        <v>320000</v>
      </c>
      <c r="R183" s="354"/>
      <c r="S183" s="253">
        <f>S184+S185+S186+S187+S188+S189+S190+S191+S192+S193</f>
        <v>108000</v>
      </c>
      <c r="T183" s="253">
        <f>T184+T185+T186+T187+T188+T189+T190+T191+T192+T193</f>
        <v>0</v>
      </c>
      <c r="U183" s="309">
        <f>U184+U185+U186+U187+U188+U189+U190+U191+U192+U193</f>
        <v>108000</v>
      </c>
      <c r="V183" s="266">
        <f t="shared" si="53"/>
        <v>428000</v>
      </c>
      <c r="W183" s="289"/>
      <c r="X183" s="253">
        <f>X184+X185+X186+X187+X188+X189+X190+X191+X192+X193</f>
        <v>4197000</v>
      </c>
      <c r="Y183" s="253">
        <f>Y184+Y185+Y186+Y187+Y188+Y189+Y190+Y191+Y192+Y193</f>
        <v>0</v>
      </c>
      <c r="Z183" s="309">
        <f>Z184+Z185+Z186+Z187+Z188+Z189+Z190+Z191+Z192+Z193</f>
        <v>4197000</v>
      </c>
      <c r="AA183" s="327"/>
      <c r="AB183" s="253">
        <f>AB184+AB185+AB186+AB187+AB188+AB189+AB190+AB191+AB192+AB193</f>
        <v>1838000</v>
      </c>
      <c r="AC183" s="253">
        <f>AC184+AC185+AC186+AC187+AC188+AC189+AC190+AC191+AC192+AC193</f>
        <v>0</v>
      </c>
      <c r="AD183" s="309">
        <f>AD184+AD185+AD186+AD187+AD188+AD189+AD190+AD191+AD192+AD193</f>
        <v>1838000</v>
      </c>
      <c r="AE183" s="266">
        <f t="shared" si="52"/>
        <v>6035000</v>
      </c>
      <c r="AF183" s="290"/>
      <c r="AG183" s="334">
        <f t="shared" si="56"/>
        <v>10334000</v>
      </c>
    </row>
    <row r="184" spans="1:33" ht="15" customHeight="1">
      <c r="A184" s="239" t="s">
        <v>1224</v>
      </c>
      <c r="B184" s="261" t="s">
        <v>246</v>
      </c>
      <c r="C184" s="261" t="s">
        <v>247</v>
      </c>
      <c r="D184" s="262">
        <v>120000</v>
      </c>
      <c r="E184" s="262">
        <v>0</v>
      </c>
      <c r="F184" s="262">
        <f t="shared" si="43"/>
        <v>120000</v>
      </c>
      <c r="G184" s="262">
        <v>0</v>
      </c>
      <c r="H184" s="312">
        <f aca="true" t="shared" si="63" ref="H184:H191">F184+G184</f>
        <v>120000</v>
      </c>
      <c r="I184" s="292"/>
      <c r="J184" s="262">
        <v>30000</v>
      </c>
      <c r="K184" s="262">
        <v>0</v>
      </c>
      <c r="L184" s="312">
        <f t="shared" si="44"/>
        <v>30000</v>
      </c>
      <c r="M184" s="299">
        <f aca="true" t="shared" si="64" ref="M184:M191">H184+L184</f>
        <v>150000</v>
      </c>
      <c r="N184" s="292"/>
      <c r="O184" s="262">
        <v>0</v>
      </c>
      <c r="P184" s="262">
        <v>0</v>
      </c>
      <c r="Q184" s="312">
        <f t="shared" si="45"/>
        <v>0</v>
      </c>
      <c r="R184" s="353"/>
      <c r="S184" s="262">
        <v>0</v>
      </c>
      <c r="T184" s="262">
        <v>0</v>
      </c>
      <c r="U184" s="312">
        <f t="shared" si="46"/>
        <v>0</v>
      </c>
      <c r="V184" s="299">
        <f t="shared" si="53"/>
        <v>0</v>
      </c>
      <c r="W184" s="292"/>
      <c r="X184" s="262">
        <v>150000</v>
      </c>
      <c r="Y184" s="262">
        <v>0</v>
      </c>
      <c r="Z184" s="312">
        <f aca="true" t="shared" si="65" ref="Z184:Z200">SUM(X184:Y184)</f>
        <v>150000</v>
      </c>
      <c r="AA184" s="323"/>
      <c r="AB184" s="262">
        <v>65000</v>
      </c>
      <c r="AC184" s="262">
        <v>0</v>
      </c>
      <c r="AD184" s="312">
        <f aca="true" t="shared" si="66" ref="AD184:AD200">SUM(AB184:AC184)</f>
        <v>65000</v>
      </c>
      <c r="AE184" s="299">
        <f t="shared" si="52"/>
        <v>215000</v>
      </c>
      <c r="AF184" s="292"/>
      <c r="AG184" s="336">
        <f t="shared" si="56"/>
        <v>365000</v>
      </c>
    </row>
    <row r="185" spans="1:33" ht="15" customHeight="1" hidden="1">
      <c r="A185" s="239" t="s">
        <v>1225</v>
      </c>
      <c r="B185" s="263" t="s">
        <v>248</v>
      </c>
      <c r="C185" s="263" t="s">
        <v>249</v>
      </c>
      <c r="D185" s="264">
        <v>0</v>
      </c>
      <c r="E185" s="264">
        <v>0</v>
      </c>
      <c r="F185" s="264">
        <f aca="true" t="shared" si="67" ref="F185:F191">SUM(D185:E185)</f>
        <v>0</v>
      </c>
      <c r="G185" s="264">
        <v>0</v>
      </c>
      <c r="H185" s="312">
        <f t="shared" si="63"/>
        <v>0</v>
      </c>
      <c r="I185" s="292"/>
      <c r="J185" s="264">
        <v>0</v>
      </c>
      <c r="K185" s="264">
        <v>0</v>
      </c>
      <c r="L185" s="312">
        <f aca="true" t="shared" si="68" ref="L185:L191">SUM(J185:K185)</f>
        <v>0</v>
      </c>
      <c r="M185" s="299">
        <f t="shared" si="64"/>
        <v>0</v>
      </c>
      <c r="N185" s="292"/>
      <c r="O185" s="264">
        <v>0</v>
      </c>
      <c r="P185" s="264">
        <v>0</v>
      </c>
      <c r="Q185" s="312">
        <f aca="true" t="shared" si="69" ref="Q185:Q191">SUM(O185:P185)</f>
        <v>0</v>
      </c>
      <c r="R185" s="353"/>
      <c r="S185" s="264">
        <v>0</v>
      </c>
      <c r="T185" s="264">
        <v>0</v>
      </c>
      <c r="U185" s="312">
        <f aca="true" t="shared" si="70" ref="U185:U191">SUM(S185:T185)</f>
        <v>0</v>
      </c>
      <c r="V185" s="299">
        <f t="shared" si="53"/>
        <v>0</v>
      </c>
      <c r="W185" s="292"/>
      <c r="X185" s="264">
        <v>0</v>
      </c>
      <c r="Y185" s="264">
        <v>0</v>
      </c>
      <c r="Z185" s="312">
        <f t="shared" si="65"/>
        <v>0</v>
      </c>
      <c r="AA185" s="323"/>
      <c r="AB185" s="264">
        <v>0</v>
      </c>
      <c r="AC185" s="264">
        <v>0</v>
      </c>
      <c r="AD185" s="312">
        <f t="shared" si="66"/>
        <v>0</v>
      </c>
      <c r="AE185" s="299">
        <f t="shared" si="52"/>
        <v>0</v>
      </c>
      <c r="AF185" s="292"/>
      <c r="AG185" s="336">
        <f t="shared" si="56"/>
        <v>0</v>
      </c>
    </row>
    <row r="186" spans="1:33" s="236" customFormat="1" ht="15" customHeight="1">
      <c r="A186" s="239" t="s">
        <v>1226</v>
      </c>
      <c r="B186" s="261" t="s">
        <v>250</v>
      </c>
      <c r="C186" s="261" t="s">
        <v>251</v>
      </c>
      <c r="D186" s="262">
        <v>100000</v>
      </c>
      <c r="E186" s="262">
        <v>0</v>
      </c>
      <c r="F186" s="262">
        <f t="shared" si="67"/>
        <v>100000</v>
      </c>
      <c r="G186" s="262">
        <v>0</v>
      </c>
      <c r="H186" s="312">
        <f t="shared" si="63"/>
        <v>100000</v>
      </c>
      <c r="I186" s="292"/>
      <c r="J186" s="262">
        <v>0</v>
      </c>
      <c r="K186" s="262">
        <v>0</v>
      </c>
      <c r="L186" s="312">
        <f t="shared" si="68"/>
        <v>0</v>
      </c>
      <c r="M186" s="299">
        <f t="shared" si="64"/>
        <v>100000</v>
      </c>
      <c r="N186" s="292"/>
      <c r="O186" s="262">
        <v>0</v>
      </c>
      <c r="P186" s="262">
        <v>0</v>
      </c>
      <c r="Q186" s="312">
        <f t="shared" si="69"/>
        <v>0</v>
      </c>
      <c r="R186" s="353"/>
      <c r="S186" s="262">
        <v>0</v>
      </c>
      <c r="T186" s="262">
        <v>0</v>
      </c>
      <c r="U186" s="312">
        <f t="shared" si="70"/>
        <v>0</v>
      </c>
      <c r="V186" s="299">
        <f t="shared" si="53"/>
        <v>0</v>
      </c>
      <c r="W186" s="292"/>
      <c r="X186" s="262">
        <v>0</v>
      </c>
      <c r="Y186" s="262">
        <v>0</v>
      </c>
      <c r="Z186" s="312">
        <f t="shared" si="65"/>
        <v>0</v>
      </c>
      <c r="AA186" s="323"/>
      <c r="AB186" s="262">
        <v>0</v>
      </c>
      <c r="AC186" s="262">
        <v>0</v>
      </c>
      <c r="AD186" s="312">
        <f t="shared" si="66"/>
        <v>0</v>
      </c>
      <c r="AE186" s="299">
        <f aca="true" t="shared" si="71" ref="AE186:AE217">Z186+AD186</f>
        <v>0</v>
      </c>
      <c r="AF186" s="290"/>
      <c r="AG186" s="334">
        <f t="shared" si="56"/>
        <v>100000</v>
      </c>
    </row>
    <row r="187" spans="1:33" s="236" customFormat="1" ht="15" customHeight="1">
      <c r="A187" s="239" t="s">
        <v>1227</v>
      </c>
      <c r="B187" s="263" t="s">
        <v>252</v>
      </c>
      <c r="C187" s="263" t="s">
        <v>253</v>
      </c>
      <c r="D187" s="264">
        <v>0</v>
      </c>
      <c r="E187" s="262">
        <v>960000</v>
      </c>
      <c r="F187" s="262">
        <f t="shared" si="67"/>
        <v>960000</v>
      </c>
      <c r="G187" s="262">
        <v>0</v>
      </c>
      <c r="H187" s="312">
        <f t="shared" si="63"/>
        <v>960000</v>
      </c>
      <c r="I187" s="292"/>
      <c r="J187" s="264">
        <v>0</v>
      </c>
      <c r="K187" s="262">
        <v>0</v>
      </c>
      <c r="L187" s="312">
        <f t="shared" si="68"/>
        <v>0</v>
      </c>
      <c r="M187" s="299">
        <f t="shared" si="64"/>
        <v>960000</v>
      </c>
      <c r="N187" s="292"/>
      <c r="O187" s="264">
        <v>0</v>
      </c>
      <c r="P187" s="264">
        <v>0</v>
      </c>
      <c r="Q187" s="312">
        <f t="shared" si="69"/>
        <v>0</v>
      </c>
      <c r="R187" s="353"/>
      <c r="S187" s="264">
        <v>0</v>
      </c>
      <c r="T187" s="264">
        <v>0</v>
      </c>
      <c r="U187" s="312">
        <f t="shared" si="70"/>
        <v>0</v>
      </c>
      <c r="V187" s="299">
        <f t="shared" si="53"/>
        <v>0</v>
      </c>
      <c r="W187" s="292"/>
      <c r="X187" s="264">
        <v>0</v>
      </c>
      <c r="Y187" s="264">
        <v>0</v>
      </c>
      <c r="Z187" s="312">
        <f t="shared" si="65"/>
        <v>0</v>
      </c>
      <c r="AA187" s="323"/>
      <c r="AB187" s="264">
        <v>0</v>
      </c>
      <c r="AC187" s="264">
        <v>0</v>
      </c>
      <c r="AD187" s="312">
        <f t="shared" si="66"/>
        <v>0</v>
      </c>
      <c r="AE187" s="299">
        <f t="shared" si="71"/>
        <v>0</v>
      </c>
      <c r="AF187" s="290"/>
      <c r="AG187" s="334">
        <f t="shared" si="56"/>
        <v>960000</v>
      </c>
    </row>
    <row r="188" spans="1:33" ht="15" customHeight="1">
      <c r="A188" s="239" t="s">
        <v>1228</v>
      </c>
      <c r="B188" s="261" t="s">
        <v>23</v>
      </c>
      <c r="C188" s="261" t="s">
        <v>254</v>
      </c>
      <c r="D188" s="264">
        <v>816000</v>
      </c>
      <c r="E188" s="264">
        <v>0</v>
      </c>
      <c r="F188" s="264">
        <f t="shared" si="67"/>
        <v>816000</v>
      </c>
      <c r="G188" s="264">
        <v>0</v>
      </c>
      <c r="H188" s="312">
        <f t="shared" si="63"/>
        <v>816000</v>
      </c>
      <c r="I188" s="292"/>
      <c r="J188" s="264">
        <v>216000</v>
      </c>
      <c r="K188" s="264">
        <v>0</v>
      </c>
      <c r="L188" s="312">
        <f t="shared" si="68"/>
        <v>216000</v>
      </c>
      <c r="M188" s="299">
        <f t="shared" si="64"/>
        <v>1032000</v>
      </c>
      <c r="N188" s="292"/>
      <c r="O188" s="264">
        <v>200000</v>
      </c>
      <c r="P188" s="264">
        <v>0</v>
      </c>
      <c r="Q188" s="312">
        <f t="shared" si="69"/>
        <v>200000</v>
      </c>
      <c r="R188" s="353"/>
      <c r="S188" s="264">
        <v>108000</v>
      </c>
      <c r="T188" s="264">
        <v>0</v>
      </c>
      <c r="U188" s="312">
        <f t="shared" si="70"/>
        <v>108000</v>
      </c>
      <c r="V188" s="299">
        <f t="shared" si="53"/>
        <v>308000</v>
      </c>
      <c r="W188" s="292"/>
      <c r="X188" s="264">
        <v>500000</v>
      </c>
      <c r="Y188" s="264">
        <v>0</v>
      </c>
      <c r="Z188" s="312">
        <f t="shared" si="65"/>
        <v>500000</v>
      </c>
      <c r="AA188" s="323"/>
      <c r="AB188" s="264">
        <v>500000</v>
      </c>
      <c r="AC188" s="264">
        <v>0</v>
      </c>
      <c r="AD188" s="312">
        <f t="shared" si="66"/>
        <v>500000</v>
      </c>
      <c r="AE188" s="299">
        <f t="shared" si="71"/>
        <v>1000000</v>
      </c>
      <c r="AF188" s="292"/>
      <c r="AG188" s="336">
        <f t="shared" si="56"/>
        <v>2340000</v>
      </c>
    </row>
    <row r="189" spans="1:33" s="236" customFormat="1" ht="15" customHeight="1">
      <c r="A189" s="239" t="s">
        <v>1229</v>
      </c>
      <c r="B189" s="263" t="s">
        <v>24</v>
      </c>
      <c r="C189" s="263" t="s">
        <v>255</v>
      </c>
      <c r="D189" s="264">
        <v>0</v>
      </c>
      <c r="E189" s="264">
        <v>0</v>
      </c>
      <c r="F189" s="264">
        <f t="shared" si="67"/>
        <v>0</v>
      </c>
      <c r="G189" s="264">
        <v>0</v>
      </c>
      <c r="H189" s="312">
        <f t="shared" si="63"/>
        <v>0</v>
      </c>
      <c r="I189" s="292"/>
      <c r="J189" s="264">
        <v>0</v>
      </c>
      <c r="K189" s="264">
        <v>0</v>
      </c>
      <c r="L189" s="312">
        <f t="shared" si="68"/>
        <v>0</v>
      </c>
      <c r="M189" s="299">
        <f t="shared" si="64"/>
        <v>0</v>
      </c>
      <c r="N189" s="292"/>
      <c r="O189" s="264">
        <v>0</v>
      </c>
      <c r="P189" s="264">
        <v>0</v>
      </c>
      <c r="Q189" s="312">
        <f t="shared" si="69"/>
        <v>0</v>
      </c>
      <c r="R189" s="353"/>
      <c r="S189" s="264">
        <v>0</v>
      </c>
      <c r="T189" s="264">
        <v>0</v>
      </c>
      <c r="U189" s="312">
        <f t="shared" si="70"/>
        <v>0</v>
      </c>
      <c r="V189" s="299">
        <f t="shared" si="53"/>
        <v>0</v>
      </c>
      <c r="W189" s="292"/>
      <c r="X189" s="264">
        <v>100000</v>
      </c>
      <c r="Y189" s="264">
        <v>0</v>
      </c>
      <c r="Z189" s="312">
        <f t="shared" si="65"/>
        <v>100000</v>
      </c>
      <c r="AA189" s="323"/>
      <c r="AB189" s="264">
        <v>0</v>
      </c>
      <c r="AC189" s="264">
        <v>0</v>
      </c>
      <c r="AD189" s="312">
        <f t="shared" si="66"/>
        <v>0</v>
      </c>
      <c r="AE189" s="299">
        <f t="shared" si="71"/>
        <v>100000</v>
      </c>
      <c r="AF189" s="290"/>
      <c r="AG189" s="334">
        <f t="shared" si="56"/>
        <v>100000</v>
      </c>
    </row>
    <row r="190" spans="1:33" s="236" customFormat="1" ht="15" customHeight="1">
      <c r="A190" s="239" t="s">
        <v>1230</v>
      </c>
      <c r="B190" s="263" t="s">
        <v>24</v>
      </c>
      <c r="C190" s="263" t="s">
        <v>256</v>
      </c>
      <c r="D190" s="264">
        <v>0</v>
      </c>
      <c r="E190" s="264">
        <v>0</v>
      </c>
      <c r="F190" s="264">
        <f t="shared" si="67"/>
        <v>0</v>
      </c>
      <c r="G190" s="264">
        <v>0</v>
      </c>
      <c r="H190" s="312">
        <f t="shared" si="63"/>
        <v>0</v>
      </c>
      <c r="I190" s="292"/>
      <c r="J190" s="264">
        <v>0</v>
      </c>
      <c r="K190" s="264">
        <v>0</v>
      </c>
      <c r="L190" s="312">
        <f t="shared" si="68"/>
        <v>0</v>
      </c>
      <c r="M190" s="299">
        <f t="shared" si="64"/>
        <v>0</v>
      </c>
      <c r="N190" s="292"/>
      <c r="O190" s="264">
        <v>0</v>
      </c>
      <c r="P190" s="264">
        <v>0</v>
      </c>
      <c r="Q190" s="312">
        <f t="shared" si="69"/>
        <v>0</v>
      </c>
      <c r="R190" s="353"/>
      <c r="S190" s="264">
        <v>0</v>
      </c>
      <c r="T190" s="264">
        <v>0</v>
      </c>
      <c r="U190" s="312">
        <f t="shared" si="70"/>
        <v>0</v>
      </c>
      <c r="V190" s="299">
        <f t="shared" si="53"/>
        <v>0</v>
      </c>
      <c r="W190" s="292"/>
      <c r="X190" s="264">
        <v>500000</v>
      </c>
      <c r="Y190" s="264">
        <v>0</v>
      </c>
      <c r="Z190" s="312">
        <f t="shared" si="65"/>
        <v>500000</v>
      </c>
      <c r="AA190" s="323"/>
      <c r="AB190" s="264">
        <v>1038000</v>
      </c>
      <c r="AC190" s="264">
        <v>0</v>
      </c>
      <c r="AD190" s="312">
        <f t="shared" si="66"/>
        <v>1038000</v>
      </c>
      <c r="AE190" s="299">
        <f t="shared" si="71"/>
        <v>1538000</v>
      </c>
      <c r="AF190" s="290"/>
      <c r="AG190" s="334">
        <f t="shared" si="56"/>
        <v>1538000</v>
      </c>
    </row>
    <row r="191" spans="1:33" s="236" customFormat="1" ht="15" customHeight="1">
      <c r="A191" s="239" t="s">
        <v>1231</v>
      </c>
      <c r="B191" s="261" t="s">
        <v>257</v>
      </c>
      <c r="C191" s="261" t="s">
        <v>258</v>
      </c>
      <c r="D191" s="264">
        <v>0</v>
      </c>
      <c r="E191" s="264">
        <v>0</v>
      </c>
      <c r="F191" s="264">
        <f t="shared" si="67"/>
        <v>0</v>
      </c>
      <c r="G191" s="264">
        <v>0</v>
      </c>
      <c r="H191" s="312">
        <f t="shared" si="63"/>
        <v>0</v>
      </c>
      <c r="I191" s="292"/>
      <c r="J191" s="264">
        <v>0</v>
      </c>
      <c r="K191" s="264">
        <v>0</v>
      </c>
      <c r="L191" s="312">
        <f t="shared" si="68"/>
        <v>0</v>
      </c>
      <c r="M191" s="299">
        <f t="shared" si="64"/>
        <v>0</v>
      </c>
      <c r="N191" s="292"/>
      <c r="O191" s="264">
        <v>0</v>
      </c>
      <c r="P191" s="264">
        <v>0</v>
      </c>
      <c r="Q191" s="312">
        <f t="shared" si="69"/>
        <v>0</v>
      </c>
      <c r="R191" s="353"/>
      <c r="S191" s="264">
        <v>0</v>
      </c>
      <c r="T191" s="264">
        <v>0</v>
      </c>
      <c r="U191" s="312">
        <f t="shared" si="70"/>
        <v>0</v>
      </c>
      <c r="V191" s="299">
        <f t="shared" si="53"/>
        <v>0</v>
      </c>
      <c r="W191" s="292"/>
      <c r="X191" s="264">
        <v>0</v>
      </c>
      <c r="Y191" s="264">
        <v>0</v>
      </c>
      <c r="Z191" s="312">
        <f t="shared" si="65"/>
        <v>0</v>
      </c>
      <c r="AA191" s="323"/>
      <c r="AB191" s="264">
        <v>170000</v>
      </c>
      <c r="AC191" s="264">
        <v>0</v>
      </c>
      <c r="AD191" s="312">
        <f t="shared" si="66"/>
        <v>170000</v>
      </c>
      <c r="AE191" s="299">
        <f t="shared" si="71"/>
        <v>170000</v>
      </c>
      <c r="AF191" s="290"/>
      <c r="AG191" s="334">
        <f t="shared" si="56"/>
        <v>170000</v>
      </c>
    </row>
    <row r="192" spans="1:33" s="236" customFormat="1" ht="15" customHeight="1">
      <c r="A192" s="239" t="s">
        <v>1232</v>
      </c>
      <c r="B192" s="263" t="s">
        <v>259</v>
      </c>
      <c r="C192" s="263" t="s">
        <v>260</v>
      </c>
      <c r="D192" s="264">
        <v>0</v>
      </c>
      <c r="E192" s="264">
        <v>0</v>
      </c>
      <c r="F192" s="264">
        <f t="shared" si="43"/>
        <v>0</v>
      </c>
      <c r="G192" s="264">
        <v>0</v>
      </c>
      <c r="H192" s="312">
        <f aca="true" t="shared" si="72" ref="H192:H200">F192+G192</f>
        <v>0</v>
      </c>
      <c r="I192" s="292"/>
      <c r="J192" s="264">
        <v>0</v>
      </c>
      <c r="K192" s="264">
        <v>0</v>
      </c>
      <c r="L192" s="312">
        <f t="shared" si="44"/>
        <v>0</v>
      </c>
      <c r="M192" s="299">
        <f aca="true" t="shared" si="73" ref="M192:M200">H192+L192</f>
        <v>0</v>
      </c>
      <c r="N192" s="292"/>
      <c r="O192" s="264">
        <v>0</v>
      </c>
      <c r="P192" s="264">
        <v>0</v>
      </c>
      <c r="Q192" s="312">
        <f t="shared" si="45"/>
        <v>0</v>
      </c>
      <c r="R192" s="353"/>
      <c r="S192" s="264">
        <v>0</v>
      </c>
      <c r="T192" s="264">
        <v>0</v>
      </c>
      <c r="U192" s="312">
        <f t="shared" si="46"/>
        <v>0</v>
      </c>
      <c r="V192" s="299">
        <f t="shared" si="53"/>
        <v>0</v>
      </c>
      <c r="W192" s="292"/>
      <c r="X192" s="264">
        <v>0</v>
      </c>
      <c r="Y192" s="264">
        <v>0</v>
      </c>
      <c r="Z192" s="312">
        <f t="shared" si="65"/>
        <v>0</v>
      </c>
      <c r="AA192" s="323"/>
      <c r="AB192" s="264">
        <v>65000</v>
      </c>
      <c r="AC192" s="264">
        <v>0</v>
      </c>
      <c r="AD192" s="312">
        <f t="shared" si="66"/>
        <v>65000</v>
      </c>
      <c r="AE192" s="299">
        <f t="shared" si="71"/>
        <v>65000</v>
      </c>
      <c r="AF192" s="290"/>
      <c r="AG192" s="334">
        <f t="shared" si="56"/>
        <v>65000</v>
      </c>
    </row>
    <row r="193" spans="1:33" s="236" customFormat="1" ht="15" customHeight="1">
      <c r="A193" s="239" t="s">
        <v>1233</v>
      </c>
      <c r="B193" s="263" t="s">
        <v>25</v>
      </c>
      <c r="C193" s="284" t="s">
        <v>261</v>
      </c>
      <c r="D193" s="264">
        <f>SUM(D194:D200)</f>
        <v>1428000</v>
      </c>
      <c r="E193" s="264">
        <f>SUM(E194:E200)</f>
        <v>0</v>
      </c>
      <c r="F193" s="264">
        <f t="shared" si="43"/>
        <v>1428000</v>
      </c>
      <c r="G193" s="264">
        <f>SUM(G194:G200)</f>
        <v>0</v>
      </c>
      <c r="H193" s="312">
        <f t="shared" si="72"/>
        <v>1428000</v>
      </c>
      <c r="I193" s="292"/>
      <c r="J193" s="264">
        <f>SUM(J194:J200)</f>
        <v>201000</v>
      </c>
      <c r="K193" s="264">
        <f>SUM(K194:K200)</f>
        <v>0</v>
      </c>
      <c r="L193" s="312">
        <f t="shared" si="44"/>
        <v>201000</v>
      </c>
      <c r="M193" s="299">
        <f t="shared" si="73"/>
        <v>1629000</v>
      </c>
      <c r="N193" s="292"/>
      <c r="O193" s="264">
        <f>SUM(O194:O200)</f>
        <v>120000</v>
      </c>
      <c r="P193" s="264">
        <f>SUM(P194:P200)</f>
        <v>0</v>
      </c>
      <c r="Q193" s="312">
        <f t="shared" si="45"/>
        <v>120000</v>
      </c>
      <c r="R193" s="353"/>
      <c r="S193" s="264">
        <f>SUM(S194:S200)</f>
        <v>0</v>
      </c>
      <c r="T193" s="264">
        <f>SUM(T194:T200)</f>
        <v>0</v>
      </c>
      <c r="U193" s="312">
        <f t="shared" si="46"/>
        <v>0</v>
      </c>
      <c r="V193" s="299">
        <f t="shared" si="53"/>
        <v>120000</v>
      </c>
      <c r="W193" s="292"/>
      <c r="X193" s="264">
        <f>SUM(X194:X200)</f>
        <v>2947000</v>
      </c>
      <c r="Y193" s="264">
        <f>SUM(Y194:Y200)</f>
        <v>0</v>
      </c>
      <c r="Z193" s="312">
        <f t="shared" si="65"/>
        <v>2947000</v>
      </c>
      <c r="AA193" s="323"/>
      <c r="AB193" s="264">
        <f>SUM(AB194:AB200)</f>
        <v>0</v>
      </c>
      <c r="AC193" s="264">
        <f>SUM(AC194:AC200)</f>
        <v>0</v>
      </c>
      <c r="AD193" s="312">
        <f t="shared" si="66"/>
        <v>0</v>
      </c>
      <c r="AE193" s="299">
        <f t="shared" si="71"/>
        <v>2947000</v>
      </c>
      <c r="AF193" s="290"/>
      <c r="AG193" s="334">
        <f t="shared" si="56"/>
        <v>4696000</v>
      </c>
    </row>
    <row r="194" spans="1:33" s="236" customFormat="1" ht="15" customHeight="1">
      <c r="A194" s="239" t="s">
        <v>1234</v>
      </c>
      <c r="B194" s="250" t="s">
        <v>266</v>
      </c>
      <c r="C194" s="252" t="s">
        <v>1541</v>
      </c>
      <c r="D194" s="273">
        <v>0</v>
      </c>
      <c r="E194" s="273">
        <v>0</v>
      </c>
      <c r="F194" s="273">
        <f t="shared" si="43"/>
        <v>0</v>
      </c>
      <c r="G194" s="273">
        <v>0</v>
      </c>
      <c r="H194" s="310">
        <f t="shared" si="72"/>
        <v>0</v>
      </c>
      <c r="I194" s="290"/>
      <c r="J194" s="273">
        <v>101000</v>
      </c>
      <c r="K194" s="273">
        <v>0</v>
      </c>
      <c r="L194" s="310">
        <f t="shared" si="44"/>
        <v>101000</v>
      </c>
      <c r="M194" s="297">
        <f t="shared" si="73"/>
        <v>101000</v>
      </c>
      <c r="N194" s="290"/>
      <c r="O194" s="273">
        <f>120000</f>
        <v>120000</v>
      </c>
      <c r="P194" s="273">
        <v>0</v>
      </c>
      <c r="Q194" s="310">
        <f t="shared" si="45"/>
        <v>120000</v>
      </c>
      <c r="R194" s="355"/>
      <c r="S194" s="273">
        <v>0</v>
      </c>
      <c r="T194" s="273">
        <v>0</v>
      </c>
      <c r="U194" s="310">
        <f t="shared" si="46"/>
        <v>0</v>
      </c>
      <c r="V194" s="297">
        <f t="shared" si="53"/>
        <v>120000</v>
      </c>
      <c r="W194" s="290"/>
      <c r="X194" s="273">
        <v>0</v>
      </c>
      <c r="Y194" s="273">
        <v>0</v>
      </c>
      <c r="Z194" s="310">
        <f t="shared" si="65"/>
        <v>0</v>
      </c>
      <c r="AA194" s="321"/>
      <c r="AB194" s="273">
        <v>0</v>
      </c>
      <c r="AC194" s="273">
        <v>0</v>
      </c>
      <c r="AD194" s="310">
        <f t="shared" si="66"/>
        <v>0</v>
      </c>
      <c r="AE194" s="297">
        <f t="shared" si="71"/>
        <v>0</v>
      </c>
      <c r="AF194" s="290"/>
      <c r="AG194" s="334">
        <f t="shared" si="56"/>
        <v>221000</v>
      </c>
    </row>
    <row r="195" spans="1:33" s="236" customFormat="1" ht="15" customHeight="1">
      <c r="A195" s="239" t="s">
        <v>1235</v>
      </c>
      <c r="B195" s="252" t="s">
        <v>267</v>
      </c>
      <c r="C195" s="252" t="s">
        <v>1531</v>
      </c>
      <c r="D195" s="251">
        <v>0</v>
      </c>
      <c r="E195" s="251">
        <v>0</v>
      </c>
      <c r="F195" s="251">
        <f t="shared" si="43"/>
        <v>0</v>
      </c>
      <c r="G195" s="251">
        <v>0</v>
      </c>
      <c r="H195" s="310">
        <f t="shared" si="72"/>
        <v>0</v>
      </c>
      <c r="I195" s="290"/>
      <c r="J195" s="251">
        <v>0</v>
      </c>
      <c r="K195" s="251">
        <v>0</v>
      </c>
      <c r="L195" s="310">
        <f t="shared" si="44"/>
        <v>0</v>
      </c>
      <c r="M195" s="297">
        <f t="shared" si="73"/>
        <v>0</v>
      </c>
      <c r="N195" s="290"/>
      <c r="O195" s="251">
        <v>0</v>
      </c>
      <c r="P195" s="251">
        <v>0</v>
      </c>
      <c r="Q195" s="310">
        <f t="shared" si="45"/>
        <v>0</v>
      </c>
      <c r="R195" s="355"/>
      <c r="S195" s="251">
        <v>0</v>
      </c>
      <c r="T195" s="251">
        <v>0</v>
      </c>
      <c r="U195" s="310">
        <f t="shared" si="46"/>
        <v>0</v>
      </c>
      <c r="V195" s="297">
        <f t="shared" si="53"/>
        <v>0</v>
      </c>
      <c r="W195" s="290"/>
      <c r="X195" s="273">
        <v>500000</v>
      </c>
      <c r="Y195" s="251">
        <v>0</v>
      </c>
      <c r="Z195" s="310">
        <f t="shared" si="65"/>
        <v>500000</v>
      </c>
      <c r="AA195" s="321"/>
      <c r="AB195" s="251">
        <v>0</v>
      </c>
      <c r="AC195" s="251">
        <v>0</v>
      </c>
      <c r="AD195" s="310">
        <f t="shared" si="66"/>
        <v>0</v>
      </c>
      <c r="AE195" s="297">
        <f t="shared" si="71"/>
        <v>500000</v>
      </c>
      <c r="AF195" s="290"/>
      <c r="AG195" s="334">
        <f t="shared" si="56"/>
        <v>500000</v>
      </c>
    </row>
    <row r="196" spans="1:33" s="236" customFormat="1" ht="15" customHeight="1">
      <c r="A196" s="239" t="s">
        <v>1236</v>
      </c>
      <c r="B196" s="252" t="s">
        <v>268</v>
      </c>
      <c r="C196" s="252" t="s">
        <v>1517</v>
      </c>
      <c r="D196" s="251">
        <v>0</v>
      </c>
      <c r="E196" s="251">
        <v>0</v>
      </c>
      <c r="F196" s="251">
        <f t="shared" si="43"/>
        <v>0</v>
      </c>
      <c r="G196" s="251">
        <v>0</v>
      </c>
      <c r="H196" s="310">
        <f t="shared" si="72"/>
        <v>0</v>
      </c>
      <c r="I196" s="290"/>
      <c r="J196" s="251">
        <v>0</v>
      </c>
      <c r="K196" s="251">
        <v>0</v>
      </c>
      <c r="L196" s="310">
        <f t="shared" si="44"/>
        <v>0</v>
      </c>
      <c r="M196" s="297">
        <f t="shared" si="73"/>
        <v>0</v>
      </c>
      <c r="N196" s="290"/>
      <c r="O196" s="251">
        <v>0</v>
      </c>
      <c r="P196" s="251">
        <v>0</v>
      </c>
      <c r="Q196" s="310">
        <f t="shared" si="45"/>
        <v>0</v>
      </c>
      <c r="R196" s="355"/>
      <c r="S196" s="251">
        <v>0</v>
      </c>
      <c r="T196" s="251">
        <v>0</v>
      </c>
      <c r="U196" s="310">
        <f t="shared" si="46"/>
        <v>0</v>
      </c>
      <c r="V196" s="297">
        <f t="shared" si="53"/>
        <v>0</v>
      </c>
      <c r="W196" s="290"/>
      <c r="X196" s="251">
        <v>50000</v>
      </c>
      <c r="Y196" s="251">
        <v>0</v>
      </c>
      <c r="Z196" s="310">
        <f t="shared" si="65"/>
        <v>50000</v>
      </c>
      <c r="AA196" s="321"/>
      <c r="AB196" s="251">
        <v>0</v>
      </c>
      <c r="AC196" s="251">
        <v>0</v>
      </c>
      <c r="AD196" s="310">
        <f t="shared" si="66"/>
        <v>0</v>
      </c>
      <c r="AE196" s="297">
        <f t="shared" si="71"/>
        <v>50000</v>
      </c>
      <c r="AF196" s="290"/>
      <c r="AG196" s="334">
        <f t="shared" si="56"/>
        <v>50000</v>
      </c>
    </row>
    <row r="197" spans="1:33" ht="15" customHeight="1">
      <c r="A197" s="239" t="s">
        <v>1237</v>
      </c>
      <c r="B197" s="252" t="s">
        <v>262</v>
      </c>
      <c r="C197" s="252" t="s">
        <v>366</v>
      </c>
      <c r="D197" s="251">
        <v>255000</v>
      </c>
      <c r="E197" s="251">
        <v>0</v>
      </c>
      <c r="F197" s="251">
        <f t="shared" si="43"/>
        <v>255000</v>
      </c>
      <c r="G197" s="251">
        <v>0</v>
      </c>
      <c r="H197" s="310">
        <f t="shared" si="72"/>
        <v>255000</v>
      </c>
      <c r="I197" s="290"/>
      <c r="J197" s="251">
        <v>0</v>
      </c>
      <c r="K197" s="251">
        <v>0</v>
      </c>
      <c r="L197" s="310">
        <f t="shared" si="44"/>
        <v>0</v>
      </c>
      <c r="M197" s="297">
        <f t="shared" si="73"/>
        <v>255000</v>
      </c>
      <c r="N197" s="290"/>
      <c r="O197" s="251">
        <v>0</v>
      </c>
      <c r="P197" s="251">
        <v>0</v>
      </c>
      <c r="Q197" s="310">
        <f t="shared" si="45"/>
        <v>0</v>
      </c>
      <c r="R197" s="355"/>
      <c r="S197" s="251">
        <v>0</v>
      </c>
      <c r="T197" s="251">
        <v>0</v>
      </c>
      <c r="U197" s="310">
        <f t="shared" si="46"/>
        <v>0</v>
      </c>
      <c r="V197" s="297">
        <f t="shared" si="53"/>
        <v>0</v>
      </c>
      <c r="W197" s="290"/>
      <c r="X197" s="251">
        <v>0</v>
      </c>
      <c r="Y197" s="251">
        <v>0</v>
      </c>
      <c r="Z197" s="310">
        <f t="shared" si="65"/>
        <v>0</v>
      </c>
      <c r="AA197" s="321"/>
      <c r="AB197" s="251">
        <v>0</v>
      </c>
      <c r="AC197" s="251">
        <v>0</v>
      </c>
      <c r="AD197" s="310">
        <f t="shared" si="66"/>
        <v>0</v>
      </c>
      <c r="AE197" s="297">
        <f t="shared" si="71"/>
        <v>0</v>
      </c>
      <c r="AF197" s="292"/>
      <c r="AG197" s="336">
        <f t="shared" si="56"/>
        <v>255000</v>
      </c>
    </row>
    <row r="198" spans="1:33" s="236" customFormat="1" ht="15" customHeight="1">
      <c r="A198" s="239" t="s">
        <v>1238</v>
      </c>
      <c r="B198" s="250" t="s">
        <v>269</v>
      </c>
      <c r="C198" s="252" t="s">
        <v>367</v>
      </c>
      <c r="D198" s="273">
        <v>0</v>
      </c>
      <c r="E198" s="273">
        <v>0</v>
      </c>
      <c r="F198" s="273">
        <f t="shared" si="43"/>
        <v>0</v>
      </c>
      <c r="G198" s="273">
        <v>0</v>
      </c>
      <c r="H198" s="310">
        <f t="shared" si="72"/>
        <v>0</v>
      </c>
      <c r="I198" s="290"/>
      <c r="J198" s="273">
        <v>100000</v>
      </c>
      <c r="K198" s="273">
        <v>0</v>
      </c>
      <c r="L198" s="310">
        <f t="shared" si="44"/>
        <v>100000</v>
      </c>
      <c r="M198" s="297">
        <f t="shared" si="73"/>
        <v>100000</v>
      </c>
      <c r="N198" s="290"/>
      <c r="O198" s="273">
        <v>0</v>
      </c>
      <c r="P198" s="273">
        <v>0</v>
      </c>
      <c r="Q198" s="310">
        <f t="shared" si="45"/>
        <v>0</v>
      </c>
      <c r="R198" s="355"/>
      <c r="S198" s="273">
        <v>0</v>
      </c>
      <c r="T198" s="273">
        <v>0</v>
      </c>
      <c r="U198" s="310">
        <f t="shared" si="46"/>
        <v>0</v>
      </c>
      <c r="V198" s="297">
        <f t="shared" si="53"/>
        <v>0</v>
      </c>
      <c r="W198" s="290"/>
      <c r="X198" s="273">
        <v>0</v>
      </c>
      <c r="Y198" s="273">
        <v>0</v>
      </c>
      <c r="Z198" s="310">
        <f t="shared" si="65"/>
        <v>0</v>
      </c>
      <c r="AA198" s="321"/>
      <c r="AB198" s="273">
        <v>0</v>
      </c>
      <c r="AC198" s="273">
        <v>0</v>
      </c>
      <c r="AD198" s="310">
        <f t="shared" si="66"/>
        <v>0</v>
      </c>
      <c r="AE198" s="297">
        <f t="shared" si="71"/>
        <v>0</v>
      </c>
      <c r="AF198" s="290"/>
      <c r="AG198" s="334">
        <f t="shared" si="56"/>
        <v>100000</v>
      </c>
    </row>
    <row r="199" spans="1:33" s="236" customFormat="1" ht="15" customHeight="1">
      <c r="A199" s="239" t="s">
        <v>1239</v>
      </c>
      <c r="B199" s="252" t="s">
        <v>265</v>
      </c>
      <c r="C199" s="252" t="s">
        <v>1072</v>
      </c>
      <c r="D199" s="251">
        <v>0</v>
      </c>
      <c r="E199" s="251">
        <v>0</v>
      </c>
      <c r="F199" s="251">
        <f t="shared" si="43"/>
        <v>0</v>
      </c>
      <c r="G199" s="251">
        <v>0</v>
      </c>
      <c r="H199" s="310">
        <f t="shared" si="72"/>
        <v>0</v>
      </c>
      <c r="I199" s="290"/>
      <c r="J199" s="251">
        <v>0</v>
      </c>
      <c r="K199" s="251">
        <v>0</v>
      </c>
      <c r="L199" s="310">
        <f t="shared" si="44"/>
        <v>0</v>
      </c>
      <c r="M199" s="297">
        <f t="shared" si="73"/>
        <v>0</v>
      </c>
      <c r="N199" s="290"/>
      <c r="O199" s="251">
        <v>0</v>
      </c>
      <c r="P199" s="251">
        <v>0</v>
      </c>
      <c r="Q199" s="310">
        <f t="shared" si="45"/>
        <v>0</v>
      </c>
      <c r="R199" s="355"/>
      <c r="S199" s="251">
        <v>0</v>
      </c>
      <c r="T199" s="251">
        <v>0</v>
      </c>
      <c r="U199" s="310">
        <f t="shared" si="46"/>
        <v>0</v>
      </c>
      <c r="V199" s="297">
        <f t="shared" si="53"/>
        <v>0</v>
      </c>
      <c r="W199" s="290"/>
      <c r="X199" s="251">
        <v>1260000</v>
      </c>
      <c r="Y199" s="251">
        <v>0</v>
      </c>
      <c r="Z199" s="310">
        <f t="shared" si="65"/>
        <v>1260000</v>
      </c>
      <c r="AA199" s="321"/>
      <c r="AB199" s="251">
        <v>0</v>
      </c>
      <c r="AC199" s="251">
        <v>0</v>
      </c>
      <c r="AD199" s="310">
        <f t="shared" si="66"/>
        <v>0</v>
      </c>
      <c r="AE199" s="297">
        <f t="shared" si="71"/>
        <v>1260000</v>
      </c>
      <c r="AF199" s="290"/>
      <c r="AG199" s="334">
        <f t="shared" si="56"/>
        <v>1260000</v>
      </c>
    </row>
    <row r="200" spans="1:33" s="236" customFormat="1" ht="15" customHeight="1">
      <c r="A200" s="239" t="s">
        <v>1240</v>
      </c>
      <c r="B200" s="250" t="s">
        <v>263</v>
      </c>
      <c r="C200" s="252" t="s">
        <v>264</v>
      </c>
      <c r="D200" s="273">
        <v>1173000</v>
      </c>
      <c r="E200" s="273">
        <v>0</v>
      </c>
      <c r="F200" s="273">
        <f t="shared" si="43"/>
        <v>1173000</v>
      </c>
      <c r="G200" s="273">
        <v>0</v>
      </c>
      <c r="H200" s="310">
        <f t="shared" si="72"/>
        <v>1173000</v>
      </c>
      <c r="I200" s="290"/>
      <c r="J200" s="273">
        <v>0</v>
      </c>
      <c r="K200" s="273">
        <v>0</v>
      </c>
      <c r="L200" s="310">
        <f t="shared" si="44"/>
        <v>0</v>
      </c>
      <c r="M200" s="297">
        <f t="shared" si="73"/>
        <v>1173000</v>
      </c>
      <c r="N200" s="290"/>
      <c r="O200" s="273">
        <v>0</v>
      </c>
      <c r="P200" s="273">
        <v>0</v>
      </c>
      <c r="Q200" s="310">
        <f t="shared" si="45"/>
        <v>0</v>
      </c>
      <c r="R200" s="355"/>
      <c r="S200" s="273">
        <v>0</v>
      </c>
      <c r="T200" s="273">
        <v>0</v>
      </c>
      <c r="U200" s="310">
        <f t="shared" si="46"/>
        <v>0</v>
      </c>
      <c r="V200" s="297">
        <f t="shared" si="53"/>
        <v>0</v>
      </c>
      <c r="W200" s="290"/>
      <c r="X200" s="307">
        <v>1137000</v>
      </c>
      <c r="Y200" s="273">
        <v>0</v>
      </c>
      <c r="Z200" s="310">
        <f t="shared" si="65"/>
        <v>1137000</v>
      </c>
      <c r="AA200" s="321"/>
      <c r="AB200" s="273">
        <v>0</v>
      </c>
      <c r="AC200" s="273">
        <v>0</v>
      </c>
      <c r="AD200" s="310">
        <f t="shared" si="66"/>
        <v>0</v>
      </c>
      <c r="AE200" s="297">
        <f t="shared" si="71"/>
        <v>1137000</v>
      </c>
      <c r="AF200" s="290"/>
      <c r="AG200" s="334">
        <f t="shared" si="56"/>
        <v>2310000</v>
      </c>
    </row>
    <row r="201" spans="1:33" s="318" customFormat="1" ht="7.5" customHeight="1">
      <c r="A201" s="239" t="s">
        <v>1241</v>
      </c>
      <c r="B201" s="317"/>
      <c r="C201" s="317"/>
      <c r="D201" s="258"/>
      <c r="E201" s="258"/>
      <c r="F201" s="258"/>
      <c r="G201" s="258"/>
      <c r="H201" s="258"/>
      <c r="I201" s="291"/>
      <c r="J201" s="258"/>
      <c r="K201" s="258"/>
      <c r="L201" s="258"/>
      <c r="M201" s="258"/>
      <c r="N201" s="291"/>
      <c r="O201" s="258"/>
      <c r="P201" s="258"/>
      <c r="Q201" s="258"/>
      <c r="R201" s="351"/>
      <c r="S201" s="258"/>
      <c r="T201" s="258"/>
      <c r="U201" s="258"/>
      <c r="V201" s="258"/>
      <c r="W201" s="291"/>
      <c r="X201" s="258"/>
      <c r="Y201" s="258"/>
      <c r="Z201" s="258"/>
      <c r="AA201" s="322"/>
      <c r="AB201" s="258"/>
      <c r="AC201" s="258"/>
      <c r="AD201" s="258"/>
      <c r="AE201" s="258">
        <f t="shared" si="71"/>
        <v>0</v>
      </c>
      <c r="AF201" s="291"/>
      <c r="AG201" s="258"/>
    </row>
    <row r="202" spans="1:33" s="10" customFormat="1" ht="15" customHeight="1">
      <c r="A202" s="239" t="s">
        <v>1242</v>
      </c>
      <c r="B202" s="247" t="s">
        <v>486</v>
      </c>
      <c r="C202" s="247" t="s">
        <v>270</v>
      </c>
      <c r="D202" s="253">
        <f>SUM(D203:D206)</f>
        <v>450000</v>
      </c>
      <c r="E202" s="253">
        <f>SUM(E203:E206)</f>
        <v>2292000</v>
      </c>
      <c r="F202" s="253">
        <f aca="true" t="shared" si="74" ref="F202:F250">SUM(D202:E202)</f>
        <v>2742000</v>
      </c>
      <c r="G202" s="253">
        <f>SUM(G203:G206)</f>
        <v>0</v>
      </c>
      <c r="H202" s="309">
        <f>F202+G202</f>
        <v>2742000</v>
      </c>
      <c r="I202" s="289"/>
      <c r="J202" s="253">
        <f>SUM(J203:J206)</f>
        <v>350000</v>
      </c>
      <c r="K202" s="253">
        <f>SUM(K203:K206)</f>
        <v>0</v>
      </c>
      <c r="L202" s="309">
        <f aca="true" t="shared" si="75" ref="L202:L249">SUM(J202:K202)</f>
        <v>350000</v>
      </c>
      <c r="M202" s="266">
        <f>H202+L202</f>
        <v>3092000</v>
      </c>
      <c r="N202" s="289"/>
      <c r="O202" s="253">
        <f>SUM(O203:O206)</f>
        <v>300000</v>
      </c>
      <c r="P202" s="253">
        <f>SUM(P203:P206)</f>
        <v>0</v>
      </c>
      <c r="Q202" s="309">
        <f aca="true" t="shared" si="76" ref="Q202:Q250">SUM(O202:P202)</f>
        <v>300000</v>
      </c>
      <c r="R202" s="354"/>
      <c r="S202" s="253">
        <f>SUM(S203:S206)</f>
        <v>0</v>
      </c>
      <c r="T202" s="253">
        <f>SUM(T203:T206)</f>
        <v>0</v>
      </c>
      <c r="U202" s="309">
        <f aca="true" t="shared" si="77" ref="U202:U250">SUM(S202:T202)</f>
        <v>0</v>
      </c>
      <c r="V202" s="266">
        <f>Q202+U202</f>
        <v>300000</v>
      </c>
      <c r="W202" s="289"/>
      <c r="X202" s="253">
        <f>SUM(X203:X206)</f>
        <v>900000</v>
      </c>
      <c r="Y202" s="253">
        <f>SUM(Y203:Y206)</f>
        <v>0</v>
      </c>
      <c r="Z202" s="309">
        <f>SUM(X202:Y202)</f>
        <v>900000</v>
      </c>
      <c r="AA202" s="320"/>
      <c r="AB202" s="253">
        <f>SUM(AB203:AB206)</f>
        <v>0</v>
      </c>
      <c r="AC202" s="253">
        <f>SUM(AC203:AC206)</f>
        <v>0</v>
      </c>
      <c r="AD202" s="309">
        <f>SUM(AB202:AC202)</f>
        <v>0</v>
      </c>
      <c r="AE202" s="266">
        <f t="shared" si="71"/>
        <v>900000</v>
      </c>
      <c r="AF202" s="289"/>
      <c r="AG202" s="285">
        <f>M202+V202+AE202</f>
        <v>4292000</v>
      </c>
    </row>
    <row r="203" spans="1:33" s="236" customFormat="1" ht="15" customHeight="1">
      <c r="A203" s="239" t="s">
        <v>1243</v>
      </c>
      <c r="B203" s="252" t="s">
        <v>271</v>
      </c>
      <c r="C203" s="252" t="s">
        <v>26</v>
      </c>
      <c r="D203" s="251">
        <v>200000</v>
      </c>
      <c r="E203" s="251">
        <v>0</v>
      </c>
      <c r="F203" s="251">
        <f t="shared" si="74"/>
        <v>200000</v>
      </c>
      <c r="G203" s="251">
        <v>0</v>
      </c>
      <c r="H203" s="310">
        <f>F203+G203</f>
        <v>200000</v>
      </c>
      <c r="I203" s="290"/>
      <c r="J203" s="251">
        <v>100000</v>
      </c>
      <c r="K203" s="251">
        <v>0</v>
      </c>
      <c r="L203" s="310">
        <f t="shared" si="75"/>
        <v>100000</v>
      </c>
      <c r="M203" s="297">
        <f>H203+L203</f>
        <v>300000</v>
      </c>
      <c r="N203" s="290"/>
      <c r="O203" s="251">
        <v>300000</v>
      </c>
      <c r="P203" s="251">
        <v>0</v>
      </c>
      <c r="Q203" s="310">
        <f t="shared" si="76"/>
        <v>300000</v>
      </c>
      <c r="R203" s="355"/>
      <c r="S203" s="251">
        <v>0</v>
      </c>
      <c r="T203" s="251">
        <v>0</v>
      </c>
      <c r="U203" s="310">
        <f t="shared" si="77"/>
        <v>0</v>
      </c>
      <c r="V203" s="297">
        <f>Q203+U203</f>
        <v>300000</v>
      </c>
      <c r="W203" s="290"/>
      <c r="X203" s="251">
        <v>100000</v>
      </c>
      <c r="Y203" s="251">
        <v>0</v>
      </c>
      <c r="Z203" s="310">
        <f>SUM(X203:Y203)</f>
        <v>100000</v>
      </c>
      <c r="AA203" s="321"/>
      <c r="AB203" s="251">
        <v>0</v>
      </c>
      <c r="AC203" s="251">
        <v>0</v>
      </c>
      <c r="AD203" s="310">
        <f>SUM(AB203:AC203)</f>
        <v>0</v>
      </c>
      <c r="AE203" s="297">
        <f t="shared" si="71"/>
        <v>100000</v>
      </c>
      <c r="AF203" s="290"/>
      <c r="AG203" s="334">
        <f>M203+V203+AE203</f>
        <v>700000</v>
      </c>
    </row>
    <row r="204" spans="1:33" s="236" customFormat="1" ht="15" customHeight="1" hidden="1">
      <c r="A204" s="239" t="s">
        <v>1322</v>
      </c>
      <c r="B204" s="250" t="s">
        <v>27</v>
      </c>
      <c r="C204" s="250" t="s">
        <v>272</v>
      </c>
      <c r="D204" s="251">
        <v>0</v>
      </c>
      <c r="E204" s="251">
        <v>0</v>
      </c>
      <c r="F204" s="251">
        <f t="shared" si="74"/>
        <v>0</v>
      </c>
      <c r="G204" s="251">
        <v>0</v>
      </c>
      <c r="H204" s="310">
        <f>F204+G204</f>
        <v>0</v>
      </c>
      <c r="I204" s="290"/>
      <c r="J204" s="251">
        <v>0</v>
      </c>
      <c r="K204" s="251">
        <v>0</v>
      </c>
      <c r="L204" s="310">
        <f t="shared" si="75"/>
        <v>0</v>
      </c>
      <c r="M204" s="297">
        <f>H204+L204</f>
        <v>0</v>
      </c>
      <c r="N204" s="290"/>
      <c r="O204" s="251">
        <v>0</v>
      </c>
      <c r="P204" s="251">
        <v>0</v>
      </c>
      <c r="Q204" s="310">
        <f t="shared" si="76"/>
        <v>0</v>
      </c>
      <c r="R204" s="355"/>
      <c r="S204" s="251">
        <v>0</v>
      </c>
      <c r="T204" s="251">
        <v>0</v>
      </c>
      <c r="U204" s="310">
        <f t="shared" si="77"/>
        <v>0</v>
      </c>
      <c r="V204" s="297">
        <f>Q204+U204</f>
        <v>0</v>
      </c>
      <c r="W204" s="290"/>
      <c r="X204" s="251">
        <v>0</v>
      </c>
      <c r="Y204" s="251">
        <v>0</v>
      </c>
      <c r="Z204" s="310">
        <f>SUM(X204:Y204)</f>
        <v>0</v>
      </c>
      <c r="AA204" s="321"/>
      <c r="AB204" s="251">
        <v>0</v>
      </c>
      <c r="AC204" s="251">
        <v>0</v>
      </c>
      <c r="AD204" s="310">
        <f>SUM(AB204:AC204)</f>
        <v>0</v>
      </c>
      <c r="AE204" s="297">
        <f t="shared" si="71"/>
        <v>0</v>
      </c>
      <c r="AF204" s="290"/>
      <c r="AG204" s="334">
        <f>M204+V204+AE204</f>
        <v>0</v>
      </c>
    </row>
    <row r="205" spans="1:33" s="236" customFormat="1" ht="15" customHeight="1">
      <c r="A205" s="239" t="s">
        <v>1244</v>
      </c>
      <c r="B205" s="250" t="s">
        <v>273</v>
      </c>
      <c r="C205" s="250" t="s">
        <v>368</v>
      </c>
      <c r="D205" s="273">
        <v>0</v>
      </c>
      <c r="E205" s="273">
        <f>382000*6</f>
        <v>2292000</v>
      </c>
      <c r="F205" s="273">
        <f t="shared" si="74"/>
        <v>2292000</v>
      </c>
      <c r="G205" s="273">
        <v>0</v>
      </c>
      <c r="H205" s="310">
        <f>F205+G205</f>
        <v>2292000</v>
      </c>
      <c r="I205" s="290"/>
      <c r="J205" s="273">
        <v>0</v>
      </c>
      <c r="K205" s="273">
        <v>0</v>
      </c>
      <c r="L205" s="310">
        <f t="shared" si="75"/>
        <v>0</v>
      </c>
      <c r="M205" s="297">
        <f>H205+L205</f>
        <v>2292000</v>
      </c>
      <c r="N205" s="290"/>
      <c r="O205" s="273">
        <v>0</v>
      </c>
      <c r="P205" s="273">
        <v>0</v>
      </c>
      <c r="Q205" s="310">
        <f t="shared" si="76"/>
        <v>0</v>
      </c>
      <c r="R205" s="355"/>
      <c r="S205" s="273">
        <v>0</v>
      </c>
      <c r="T205" s="273">
        <v>0</v>
      </c>
      <c r="U205" s="310">
        <f t="shared" si="77"/>
        <v>0</v>
      </c>
      <c r="V205" s="297">
        <f>Q205+U205</f>
        <v>0</v>
      </c>
      <c r="W205" s="290"/>
      <c r="X205" s="273">
        <v>500000</v>
      </c>
      <c r="Y205" s="273">
        <v>0</v>
      </c>
      <c r="Z205" s="310">
        <f>SUM(X205:Y205)</f>
        <v>500000</v>
      </c>
      <c r="AA205" s="321"/>
      <c r="AB205" s="273">
        <v>0</v>
      </c>
      <c r="AC205" s="273">
        <v>0</v>
      </c>
      <c r="AD205" s="310">
        <f>SUM(AB205:AC205)</f>
        <v>0</v>
      </c>
      <c r="AE205" s="297">
        <f t="shared" si="71"/>
        <v>500000</v>
      </c>
      <c r="AF205" s="290"/>
      <c r="AG205" s="334">
        <f>M205+V205+AE205</f>
        <v>2792000</v>
      </c>
    </row>
    <row r="206" spans="1:33" s="236" customFormat="1" ht="15" customHeight="1">
      <c r="A206" s="239" t="s">
        <v>1245</v>
      </c>
      <c r="B206" s="252" t="s">
        <v>274</v>
      </c>
      <c r="C206" s="252" t="s">
        <v>275</v>
      </c>
      <c r="D206" s="251">
        <v>250000</v>
      </c>
      <c r="E206" s="251">
        <v>0</v>
      </c>
      <c r="F206" s="251">
        <f t="shared" si="74"/>
        <v>250000</v>
      </c>
      <c r="G206" s="251">
        <v>0</v>
      </c>
      <c r="H206" s="310">
        <f>F206+G206</f>
        <v>250000</v>
      </c>
      <c r="I206" s="290"/>
      <c r="J206" s="251">
        <v>250000</v>
      </c>
      <c r="K206" s="251">
        <v>0</v>
      </c>
      <c r="L206" s="310">
        <f t="shared" si="75"/>
        <v>250000</v>
      </c>
      <c r="M206" s="297">
        <f>H206+L206</f>
        <v>500000</v>
      </c>
      <c r="N206" s="290"/>
      <c r="O206" s="251">
        <v>0</v>
      </c>
      <c r="P206" s="251">
        <v>0</v>
      </c>
      <c r="Q206" s="310">
        <f t="shared" si="76"/>
        <v>0</v>
      </c>
      <c r="R206" s="355"/>
      <c r="S206" s="251">
        <v>0</v>
      </c>
      <c r="T206" s="251">
        <v>0</v>
      </c>
      <c r="U206" s="310">
        <f t="shared" si="77"/>
        <v>0</v>
      </c>
      <c r="V206" s="297">
        <f>Q206+U206</f>
        <v>0</v>
      </c>
      <c r="W206" s="290"/>
      <c r="X206" s="251">
        <v>300000</v>
      </c>
      <c r="Y206" s="251">
        <v>0</v>
      </c>
      <c r="Z206" s="310">
        <f>SUM(X206:Y206)</f>
        <v>300000</v>
      </c>
      <c r="AA206" s="321"/>
      <c r="AB206" s="251">
        <v>0</v>
      </c>
      <c r="AC206" s="251">
        <v>0</v>
      </c>
      <c r="AD206" s="310">
        <f>SUM(AB206:AC206)</f>
        <v>0</v>
      </c>
      <c r="AE206" s="297">
        <f t="shared" si="71"/>
        <v>300000</v>
      </c>
      <c r="AF206" s="290"/>
      <c r="AG206" s="334">
        <f>M206+V206+AE206</f>
        <v>800000</v>
      </c>
    </row>
    <row r="207" spans="1:33" s="318" customFormat="1" ht="7.5" customHeight="1">
      <c r="A207" s="239" t="s">
        <v>1246</v>
      </c>
      <c r="B207" s="317"/>
      <c r="C207" s="317"/>
      <c r="D207" s="258"/>
      <c r="E207" s="258"/>
      <c r="F207" s="258"/>
      <c r="G207" s="258"/>
      <c r="H207" s="258"/>
      <c r="I207" s="291"/>
      <c r="J207" s="258"/>
      <c r="K207" s="258"/>
      <c r="L207" s="258"/>
      <c r="M207" s="258"/>
      <c r="N207" s="291"/>
      <c r="O207" s="258"/>
      <c r="P207" s="258"/>
      <c r="Q207" s="258"/>
      <c r="R207" s="351"/>
      <c r="S207" s="258"/>
      <c r="T207" s="258"/>
      <c r="U207" s="258"/>
      <c r="V207" s="258"/>
      <c r="W207" s="291"/>
      <c r="X207" s="258"/>
      <c r="Y207" s="258"/>
      <c r="Z207" s="311"/>
      <c r="AA207" s="322"/>
      <c r="AB207" s="258"/>
      <c r="AC207" s="258"/>
      <c r="AD207" s="311"/>
      <c r="AE207" s="258">
        <f t="shared" si="71"/>
        <v>0</v>
      </c>
      <c r="AF207" s="291"/>
      <c r="AG207" s="258"/>
    </row>
    <row r="208" spans="1:33" s="10" customFormat="1" ht="15" customHeight="1">
      <c r="A208" s="239" t="s">
        <v>1247</v>
      </c>
      <c r="B208" s="254" t="s">
        <v>504</v>
      </c>
      <c r="C208" s="254" t="s">
        <v>276</v>
      </c>
      <c r="D208" s="255">
        <f>SUM(D209:D212)</f>
        <v>4953000</v>
      </c>
      <c r="E208" s="255">
        <f>SUM(E209:E212)</f>
        <v>114000</v>
      </c>
      <c r="F208" s="255">
        <f t="shared" si="74"/>
        <v>5067000</v>
      </c>
      <c r="G208" s="255">
        <f>SUM(G209:G212)</f>
        <v>0</v>
      </c>
      <c r="H208" s="309">
        <f>F208+G208</f>
        <v>5067000</v>
      </c>
      <c r="I208" s="289"/>
      <c r="J208" s="255">
        <f>SUM(J209:J212)</f>
        <v>980000</v>
      </c>
      <c r="K208" s="255">
        <f>SUM(K209:K212)</f>
        <v>0</v>
      </c>
      <c r="L208" s="309">
        <f t="shared" si="75"/>
        <v>980000</v>
      </c>
      <c r="M208" s="266">
        <f>H208+L208</f>
        <v>6047000</v>
      </c>
      <c r="N208" s="289"/>
      <c r="O208" s="255">
        <f>SUM(O209:O212)</f>
        <v>2842000</v>
      </c>
      <c r="P208" s="255">
        <f>SUM(P209:P212)</f>
        <v>0</v>
      </c>
      <c r="Q208" s="309">
        <f t="shared" si="76"/>
        <v>2842000</v>
      </c>
      <c r="R208" s="354"/>
      <c r="S208" s="255">
        <f>SUM(S209:S212)</f>
        <v>940000</v>
      </c>
      <c r="T208" s="255">
        <f>SUM(T209:T212)</f>
        <v>0</v>
      </c>
      <c r="U208" s="309">
        <f t="shared" si="77"/>
        <v>940000</v>
      </c>
      <c r="V208" s="266">
        <f aca="true" t="shared" si="78" ref="V208:V221">Q208+U208</f>
        <v>3782000</v>
      </c>
      <c r="W208" s="289"/>
      <c r="X208" s="255">
        <f>SUM(X209:X212)</f>
        <v>2281000</v>
      </c>
      <c r="Y208" s="255">
        <f>SUM(Y209:Y212)</f>
        <v>0</v>
      </c>
      <c r="Z208" s="309">
        <f aca="true" t="shared" si="79" ref="Z208:Z221">SUM(X208:Y208)</f>
        <v>2281000</v>
      </c>
      <c r="AA208" s="320"/>
      <c r="AB208" s="255">
        <f>SUM(AB209:AB212)</f>
        <v>2686000</v>
      </c>
      <c r="AC208" s="255">
        <f>SUM(AC209:AC212)</f>
        <v>0</v>
      </c>
      <c r="AD208" s="309">
        <f aca="true" t="shared" si="80" ref="AD208:AD221">SUM(AB208:AC208)</f>
        <v>2686000</v>
      </c>
      <c r="AE208" s="266">
        <f t="shared" si="71"/>
        <v>4967000</v>
      </c>
      <c r="AF208" s="289" t="e">
        <f>SUM(AF209:AF212)</f>
        <v>#REF!</v>
      </c>
      <c r="AG208" s="285">
        <f aca="true" t="shared" si="81" ref="AG208:AG221">M208+V208+AE208</f>
        <v>14796000</v>
      </c>
    </row>
    <row r="209" spans="1:33" ht="15" customHeight="1">
      <c r="A209" s="239" t="s">
        <v>1248</v>
      </c>
      <c r="B209" s="263" t="s">
        <v>28</v>
      </c>
      <c r="C209" s="263" t="s">
        <v>277</v>
      </c>
      <c r="D209" s="264">
        <v>2394000</v>
      </c>
      <c r="E209" s="264">
        <f>((E122+E127+E133+E142+E149+E153+E161+E212)*0.27)+(E205*0.05)-600</f>
        <v>114000</v>
      </c>
      <c r="F209" s="264">
        <f t="shared" si="74"/>
        <v>2508000</v>
      </c>
      <c r="G209" s="264">
        <f>((G122+G127+G133+G142+G149+G153+G161+G212)*0.27)+(G205*0.05)</f>
        <v>0</v>
      </c>
      <c r="H209" s="312">
        <f aca="true" t="shared" si="82" ref="H209:H262">F209+G209</f>
        <v>2508000</v>
      </c>
      <c r="I209" s="292"/>
      <c r="J209" s="264">
        <v>930000</v>
      </c>
      <c r="K209" s="264">
        <f>((K122+K127+K133+K142+K147+K149+K153+K161+K183+K212+K221)*0.27)+(K205*0.05)</f>
        <v>0</v>
      </c>
      <c r="L209" s="312">
        <f t="shared" si="75"/>
        <v>930000</v>
      </c>
      <c r="M209" s="299">
        <f aca="true" t="shared" si="83" ref="M209:M260">H209+L209</f>
        <v>3438000</v>
      </c>
      <c r="N209" s="292"/>
      <c r="O209" s="264">
        <f>1388000+927000+716000-135000-54000</f>
        <v>2842000</v>
      </c>
      <c r="P209" s="264">
        <v>0</v>
      </c>
      <c r="Q209" s="312">
        <f t="shared" si="76"/>
        <v>2842000</v>
      </c>
      <c r="R209" s="353"/>
      <c r="S209" s="264">
        <v>840000</v>
      </c>
      <c r="T209" s="264">
        <v>0</v>
      </c>
      <c r="U209" s="312">
        <f t="shared" si="77"/>
        <v>840000</v>
      </c>
      <c r="V209" s="299">
        <f t="shared" si="78"/>
        <v>3682000</v>
      </c>
      <c r="W209" s="292"/>
      <c r="X209" s="264">
        <f>2280620+380</f>
        <v>2281000</v>
      </c>
      <c r="Y209" s="264">
        <v>0</v>
      </c>
      <c r="Z209" s="312">
        <f t="shared" si="79"/>
        <v>2281000</v>
      </c>
      <c r="AA209" s="323"/>
      <c r="AB209" s="264">
        <f>2270610-610+1000</f>
        <v>2271000</v>
      </c>
      <c r="AC209" s="342">
        <v>0</v>
      </c>
      <c r="AD209" s="312">
        <f t="shared" si="80"/>
        <v>2271000</v>
      </c>
      <c r="AE209" s="297">
        <f t="shared" si="71"/>
        <v>4552000</v>
      </c>
      <c r="AF209" s="292" t="e">
        <f>(AF122+AF127+AF133+AF142+AF149+AF153+AF157+#REF!+#REF!+#REF!+#REF!+#REF!+AF205+AF206)*0.27</f>
        <v>#REF!</v>
      </c>
      <c r="AG209" s="336">
        <f t="shared" si="81"/>
        <v>11672000</v>
      </c>
    </row>
    <row r="210" spans="1:33" ht="15" customHeight="1" hidden="1">
      <c r="A210" s="239" t="s">
        <v>1323</v>
      </c>
      <c r="B210" s="261" t="s">
        <v>278</v>
      </c>
      <c r="C210" s="261" t="s">
        <v>279</v>
      </c>
      <c r="D210" s="262">
        <v>0</v>
      </c>
      <c r="E210" s="262">
        <v>0</v>
      </c>
      <c r="F210" s="262">
        <f t="shared" si="74"/>
        <v>0</v>
      </c>
      <c r="G210" s="262">
        <v>0</v>
      </c>
      <c r="H210" s="312">
        <f t="shared" si="82"/>
        <v>0</v>
      </c>
      <c r="I210" s="292"/>
      <c r="J210" s="262">
        <v>0</v>
      </c>
      <c r="K210" s="262">
        <v>0</v>
      </c>
      <c r="L210" s="312">
        <f t="shared" si="75"/>
        <v>0</v>
      </c>
      <c r="M210" s="299">
        <f t="shared" si="83"/>
        <v>0</v>
      </c>
      <c r="N210" s="292"/>
      <c r="O210" s="262">
        <v>0</v>
      </c>
      <c r="P210" s="262">
        <v>0</v>
      </c>
      <c r="Q210" s="312">
        <f t="shared" si="76"/>
        <v>0</v>
      </c>
      <c r="R210" s="353"/>
      <c r="S210" s="262">
        <v>0</v>
      </c>
      <c r="T210" s="262">
        <v>0</v>
      </c>
      <c r="U210" s="312">
        <f t="shared" si="77"/>
        <v>0</v>
      </c>
      <c r="V210" s="299">
        <f t="shared" si="78"/>
        <v>0</v>
      </c>
      <c r="W210" s="292"/>
      <c r="X210" s="262">
        <v>0</v>
      </c>
      <c r="Y210" s="262">
        <v>0</v>
      </c>
      <c r="Z210" s="312">
        <f t="shared" si="79"/>
        <v>0</v>
      </c>
      <c r="AA210" s="323"/>
      <c r="AB210" s="262">
        <v>0</v>
      </c>
      <c r="AC210" s="262">
        <v>0</v>
      </c>
      <c r="AD210" s="312">
        <f t="shared" si="80"/>
        <v>0</v>
      </c>
      <c r="AE210" s="299">
        <f t="shared" si="71"/>
        <v>0</v>
      </c>
      <c r="AF210" s="292"/>
      <c r="AG210" s="336">
        <f t="shared" si="81"/>
        <v>0</v>
      </c>
    </row>
    <row r="211" spans="1:33" ht="15" customHeight="1" hidden="1">
      <c r="A211" s="239" t="s">
        <v>1249</v>
      </c>
      <c r="B211" s="263" t="s">
        <v>280</v>
      </c>
      <c r="C211" s="263" t="s">
        <v>281</v>
      </c>
      <c r="D211" s="264">
        <v>0</v>
      </c>
      <c r="E211" s="264">
        <v>0</v>
      </c>
      <c r="F211" s="264">
        <f t="shared" si="74"/>
        <v>0</v>
      </c>
      <c r="G211" s="264">
        <v>0</v>
      </c>
      <c r="H211" s="312">
        <f t="shared" si="82"/>
        <v>0</v>
      </c>
      <c r="I211" s="292"/>
      <c r="J211" s="264">
        <v>0</v>
      </c>
      <c r="K211" s="264">
        <v>0</v>
      </c>
      <c r="L211" s="312">
        <f t="shared" si="75"/>
        <v>0</v>
      </c>
      <c r="M211" s="299">
        <f t="shared" si="83"/>
        <v>0</v>
      </c>
      <c r="N211" s="292"/>
      <c r="O211" s="264">
        <v>0</v>
      </c>
      <c r="P211" s="264">
        <v>0</v>
      </c>
      <c r="Q211" s="312">
        <f t="shared" si="76"/>
        <v>0</v>
      </c>
      <c r="R211" s="353"/>
      <c r="S211" s="264">
        <v>0</v>
      </c>
      <c r="T211" s="264">
        <v>0</v>
      </c>
      <c r="U211" s="312">
        <f t="shared" si="77"/>
        <v>0</v>
      </c>
      <c r="V211" s="299">
        <f t="shared" si="78"/>
        <v>0</v>
      </c>
      <c r="W211" s="292"/>
      <c r="X211" s="264">
        <v>0</v>
      </c>
      <c r="Y211" s="264">
        <v>0</v>
      </c>
      <c r="Z211" s="312">
        <f t="shared" si="79"/>
        <v>0</v>
      </c>
      <c r="AA211" s="323"/>
      <c r="AB211" s="264">
        <v>0</v>
      </c>
      <c r="AC211" s="264">
        <v>0</v>
      </c>
      <c r="AD211" s="312">
        <f t="shared" si="80"/>
        <v>0</v>
      </c>
      <c r="AE211" s="299">
        <f t="shared" si="71"/>
        <v>0</v>
      </c>
      <c r="AF211" s="292"/>
      <c r="AG211" s="336">
        <f t="shared" si="81"/>
        <v>0</v>
      </c>
    </row>
    <row r="212" spans="1:33" ht="15" customHeight="1">
      <c r="A212" s="239" t="s">
        <v>1250</v>
      </c>
      <c r="B212" s="261" t="s">
        <v>282</v>
      </c>
      <c r="C212" s="261" t="s">
        <v>276</v>
      </c>
      <c r="D212" s="262">
        <f>SUM(D213:D221)</f>
        <v>2559000</v>
      </c>
      <c r="E212" s="262">
        <f>SUM(E213:E221)</f>
        <v>0</v>
      </c>
      <c r="F212" s="262">
        <f>SUM(F213:F221)</f>
        <v>2559000</v>
      </c>
      <c r="G212" s="262">
        <f>SUM(G213:G221)</f>
        <v>0</v>
      </c>
      <c r="H212" s="312">
        <f t="shared" si="82"/>
        <v>2559000</v>
      </c>
      <c r="I212" s="292"/>
      <c r="J212" s="262">
        <f>SUM(J213:J221)</f>
        <v>50000</v>
      </c>
      <c r="K212" s="262">
        <f>SUM(K213:K221)</f>
        <v>0</v>
      </c>
      <c r="L212" s="312">
        <f t="shared" si="75"/>
        <v>50000</v>
      </c>
      <c r="M212" s="299">
        <f t="shared" si="83"/>
        <v>2609000</v>
      </c>
      <c r="N212" s="292"/>
      <c r="O212" s="262">
        <f>SUM(O213:O221)</f>
        <v>0</v>
      </c>
      <c r="P212" s="262">
        <f>SUM(P213:P221)</f>
        <v>0</v>
      </c>
      <c r="Q212" s="312">
        <f t="shared" si="76"/>
        <v>0</v>
      </c>
      <c r="R212" s="353"/>
      <c r="S212" s="262">
        <f>SUM(S213:S221)</f>
        <v>100000</v>
      </c>
      <c r="T212" s="262">
        <f>SUM(T213:T221)</f>
        <v>0</v>
      </c>
      <c r="U212" s="312">
        <f t="shared" si="77"/>
        <v>100000</v>
      </c>
      <c r="V212" s="299">
        <f t="shared" si="78"/>
        <v>100000</v>
      </c>
      <c r="W212" s="292"/>
      <c r="X212" s="262">
        <f>SUM(X213:X221)</f>
        <v>0</v>
      </c>
      <c r="Y212" s="262">
        <f>SUM(Y213:Y221)</f>
        <v>0</v>
      </c>
      <c r="Z212" s="312">
        <f t="shared" si="79"/>
        <v>0</v>
      </c>
      <c r="AA212" s="323"/>
      <c r="AB212" s="262">
        <f>SUM(AB213:AB221)</f>
        <v>415000</v>
      </c>
      <c r="AC212" s="262">
        <f>SUM(AC213:AC221)</f>
        <v>0</v>
      </c>
      <c r="AD212" s="312">
        <f t="shared" si="80"/>
        <v>415000</v>
      </c>
      <c r="AE212" s="299">
        <f t="shared" si="71"/>
        <v>415000</v>
      </c>
      <c r="AF212" s="292"/>
      <c r="AG212" s="336">
        <f t="shared" si="81"/>
        <v>3124000</v>
      </c>
    </row>
    <row r="213" spans="1:33" s="236" customFormat="1" ht="15" customHeight="1" hidden="1">
      <c r="A213" s="239" t="s">
        <v>1251</v>
      </c>
      <c r="B213" s="252" t="s">
        <v>283</v>
      </c>
      <c r="C213" s="252" t="s">
        <v>284</v>
      </c>
      <c r="D213" s="251">
        <v>0</v>
      </c>
      <c r="E213" s="251">
        <v>0</v>
      </c>
      <c r="F213" s="251">
        <f t="shared" si="74"/>
        <v>0</v>
      </c>
      <c r="G213" s="251">
        <v>0</v>
      </c>
      <c r="H213" s="310">
        <f t="shared" si="82"/>
        <v>0</v>
      </c>
      <c r="I213" s="290"/>
      <c r="J213" s="251">
        <v>0</v>
      </c>
      <c r="K213" s="251">
        <v>0</v>
      </c>
      <c r="L213" s="310">
        <f t="shared" si="75"/>
        <v>0</v>
      </c>
      <c r="M213" s="297">
        <f t="shared" si="83"/>
        <v>0</v>
      </c>
      <c r="N213" s="290"/>
      <c r="O213" s="251">
        <v>0</v>
      </c>
      <c r="P213" s="251">
        <v>0</v>
      </c>
      <c r="Q213" s="310">
        <f t="shared" si="76"/>
        <v>0</v>
      </c>
      <c r="R213" s="355"/>
      <c r="S213" s="251">
        <v>0</v>
      </c>
      <c r="T213" s="251">
        <v>0</v>
      </c>
      <c r="U213" s="310">
        <f t="shared" si="77"/>
        <v>0</v>
      </c>
      <c r="V213" s="297">
        <f t="shared" si="78"/>
        <v>0</v>
      </c>
      <c r="W213" s="290"/>
      <c r="X213" s="251">
        <v>0</v>
      </c>
      <c r="Y213" s="251">
        <v>0</v>
      </c>
      <c r="Z213" s="310">
        <f t="shared" si="79"/>
        <v>0</v>
      </c>
      <c r="AA213" s="321"/>
      <c r="AB213" s="251">
        <v>0</v>
      </c>
      <c r="AC213" s="251">
        <v>0</v>
      </c>
      <c r="AD213" s="310">
        <f t="shared" si="80"/>
        <v>0</v>
      </c>
      <c r="AE213" s="297">
        <f t="shared" si="71"/>
        <v>0</v>
      </c>
      <c r="AF213" s="290"/>
      <c r="AG213" s="334">
        <f t="shared" si="81"/>
        <v>0</v>
      </c>
    </row>
    <row r="214" spans="1:33" s="236" customFormat="1" ht="15" customHeight="1" hidden="1">
      <c r="A214" s="239" t="s">
        <v>1252</v>
      </c>
      <c r="B214" s="252" t="s">
        <v>285</v>
      </c>
      <c r="C214" s="252" t="s">
        <v>286</v>
      </c>
      <c r="D214" s="251">
        <v>0</v>
      </c>
      <c r="E214" s="251">
        <v>0</v>
      </c>
      <c r="F214" s="251">
        <f t="shared" si="74"/>
        <v>0</v>
      </c>
      <c r="G214" s="251">
        <v>0</v>
      </c>
      <c r="H214" s="310">
        <f t="shared" si="82"/>
        <v>0</v>
      </c>
      <c r="I214" s="290"/>
      <c r="J214" s="251">
        <v>0</v>
      </c>
      <c r="K214" s="251">
        <v>0</v>
      </c>
      <c r="L214" s="310">
        <f t="shared" si="75"/>
        <v>0</v>
      </c>
      <c r="M214" s="297">
        <f t="shared" si="83"/>
        <v>0</v>
      </c>
      <c r="N214" s="290"/>
      <c r="O214" s="251">
        <v>0</v>
      </c>
      <c r="P214" s="251">
        <v>0</v>
      </c>
      <c r="Q214" s="310">
        <f t="shared" si="76"/>
        <v>0</v>
      </c>
      <c r="R214" s="355"/>
      <c r="S214" s="251">
        <v>0</v>
      </c>
      <c r="T214" s="251">
        <v>0</v>
      </c>
      <c r="U214" s="310">
        <f t="shared" si="77"/>
        <v>0</v>
      </c>
      <c r="V214" s="297">
        <f t="shared" si="78"/>
        <v>0</v>
      </c>
      <c r="W214" s="290"/>
      <c r="X214" s="251">
        <v>0</v>
      </c>
      <c r="Y214" s="251">
        <v>0</v>
      </c>
      <c r="Z214" s="310">
        <f t="shared" si="79"/>
        <v>0</v>
      </c>
      <c r="AA214" s="321"/>
      <c r="AB214" s="251">
        <v>0</v>
      </c>
      <c r="AC214" s="251">
        <v>0</v>
      </c>
      <c r="AD214" s="310">
        <f t="shared" si="80"/>
        <v>0</v>
      </c>
      <c r="AE214" s="297">
        <f t="shared" si="71"/>
        <v>0</v>
      </c>
      <c r="AF214" s="290"/>
      <c r="AG214" s="334">
        <f t="shared" si="81"/>
        <v>0</v>
      </c>
    </row>
    <row r="215" spans="1:33" s="236" customFormat="1" ht="15" customHeight="1" hidden="1">
      <c r="A215" s="239" t="s">
        <v>1253</v>
      </c>
      <c r="B215" s="252" t="s">
        <v>287</v>
      </c>
      <c r="C215" s="252" t="s">
        <v>288</v>
      </c>
      <c r="D215" s="251">
        <v>0</v>
      </c>
      <c r="E215" s="251">
        <v>0</v>
      </c>
      <c r="F215" s="251">
        <f t="shared" si="74"/>
        <v>0</v>
      </c>
      <c r="G215" s="251">
        <v>0</v>
      </c>
      <c r="H215" s="310">
        <f t="shared" si="82"/>
        <v>0</v>
      </c>
      <c r="I215" s="290"/>
      <c r="J215" s="251">
        <v>0</v>
      </c>
      <c r="K215" s="251">
        <v>0</v>
      </c>
      <c r="L215" s="310">
        <f t="shared" si="75"/>
        <v>0</v>
      </c>
      <c r="M215" s="297">
        <f t="shared" si="83"/>
        <v>0</v>
      </c>
      <c r="N215" s="290"/>
      <c r="O215" s="251">
        <v>0</v>
      </c>
      <c r="P215" s="251">
        <v>0</v>
      </c>
      <c r="Q215" s="310">
        <f t="shared" si="76"/>
        <v>0</v>
      </c>
      <c r="R215" s="355"/>
      <c r="S215" s="251">
        <v>0</v>
      </c>
      <c r="T215" s="251">
        <v>0</v>
      </c>
      <c r="U215" s="310">
        <f t="shared" si="77"/>
        <v>0</v>
      </c>
      <c r="V215" s="297">
        <f t="shared" si="78"/>
        <v>0</v>
      </c>
      <c r="W215" s="290"/>
      <c r="X215" s="251">
        <v>0</v>
      </c>
      <c r="Y215" s="251">
        <v>0</v>
      </c>
      <c r="Z215" s="310">
        <f t="shared" si="79"/>
        <v>0</v>
      </c>
      <c r="AA215" s="321"/>
      <c r="AB215" s="251">
        <v>0</v>
      </c>
      <c r="AC215" s="251">
        <v>0</v>
      </c>
      <c r="AD215" s="310">
        <f t="shared" si="80"/>
        <v>0</v>
      </c>
      <c r="AE215" s="297">
        <f t="shared" si="71"/>
        <v>0</v>
      </c>
      <c r="AF215" s="290"/>
      <c r="AG215" s="334">
        <f t="shared" si="81"/>
        <v>0</v>
      </c>
    </row>
    <row r="216" spans="1:33" s="236" customFormat="1" ht="15" customHeight="1" hidden="1">
      <c r="A216" s="239" t="s">
        <v>1254</v>
      </c>
      <c r="B216" s="252" t="s">
        <v>289</v>
      </c>
      <c r="C216" s="252" t="s">
        <v>290</v>
      </c>
      <c r="D216" s="251">
        <v>0</v>
      </c>
      <c r="E216" s="251">
        <v>0</v>
      </c>
      <c r="F216" s="251">
        <f t="shared" si="74"/>
        <v>0</v>
      </c>
      <c r="G216" s="251">
        <v>0</v>
      </c>
      <c r="H216" s="310">
        <f t="shared" si="82"/>
        <v>0</v>
      </c>
      <c r="I216" s="290"/>
      <c r="J216" s="251">
        <v>0</v>
      </c>
      <c r="K216" s="251">
        <v>0</v>
      </c>
      <c r="L216" s="310">
        <f t="shared" si="75"/>
        <v>0</v>
      </c>
      <c r="M216" s="297">
        <f t="shared" si="83"/>
        <v>0</v>
      </c>
      <c r="N216" s="290"/>
      <c r="O216" s="251">
        <v>0</v>
      </c>
      <c r="P216" s="251">
        <v>0</v>
      </c>
      <c r="Q216" s="310">
        <f t="shared" si="76"/>
        <v>0</v>
      </c>
      <c r="R216" s="355"/>
      <c r="S216" s="251">
        <v>0</v>
      </c>
      <c r="T216" s="251">
        <v>0</v>
      </c>
      <c r="U216" s="310">
        <f t="shared" si="77"/>
        <v>0</v>
      </c>
      <c r="V216" s="297">
        <f t="shared" si="78"/>
        <v>0</v>
      </c>
      <c r="W216" s="290"/>
      <c r="X216" s="251">
        <v>0</v>
      </c>
      <c r="Y216" s="251">
        <v>0</v>
      </c>
      <c r="Z216" s="310">
        <f t="shared" si="79"/>
        <v>0</v>
      </c>
      <c r="AA216" s="321"/>
      <c r="AB216" s="251">
        <v>0</v>
      </c>
      <c r="AC216" s="251">
        <v>0</v>
      </c>
      <c r="AD216" s="310">
        <f t="shared" si="80"/>
        <v>0</v>
      </c>
      <c r="AE216" s="297">
        <f t="shared" si="71"/>
        <v>0</v>
      </c>
      <c r="AF216" s="290"/>
      <c r="AG216" s="334">
        <f t="shared" si="81"/>
        <v>0</v>
      </c>
    </row>
    <row r="217" spans="1:33" s="236" customFormat="1" ht="15" customHeight="1" hidden="1">
      <c r="A217" s="239" t="s">
        <v>1255</v>
      </c>
      <c r="B217" s="252" t="s">
        <v>291</v>
      </c>
      <c r="C217" s="252" t="s">
        <v>292</v>
      </c>
      <c r="D217" s="251">
        <v>0</v>
      </c>
      <c r="E217" s="251">
        <v>0</v>
      </c>
      <c r="F217" s="251">
        <f t="shared" si="74"/>
        <v>0</v>
      </c>
      <c r="G217" s="251">
        <v>0</v>
      </c>
      <c r="H217" s="310">
        <f t="shared" si="82"/>
        <v>0</v>
      </c>
      <c r="I217" s="290"/>
      <c r="J217" s="251">
        <v>0</v>
      </c>
      <c r="K217" s="251">
        <v>0</v>
      </c>
      <c r="L217" s="310">
        <f t="shared" si="75"/>
        <v>0</v>
      </c>
      <c r="M217" s="297">
        <f t="shared" si="83"/>
        <v>0</v>
      </c>
      <c r="N217" s="290"/>
      <c r="O217" s="251">
        <v>0</v>
      </c>
      <c r="P217" s="251">
        <v>0</v>
      </c>
      <c r="Q217" s="310">
        <f t="shared" si="76"/>
        <v>0</v>
      </c>
      <c r="R217" s="355"/>
      <c r="S217" s="251">
        <v>0</v>
      </c>
      <c r="T217" s="251">
        <v>0</v>
      </c>
      <c r="U217" s="310">
        <f t="shared" si="77"/>
        <v>0</v>
      </c>
      <c r="V217" s="297">
        <f t="shared" si="78"/>
        <v>0</v>
      </c>
      <c r="W217" s="290"/>
      <c r="X217" s="251">
        <v>0</v>
      </c>
      <c r="Y217" s="251">
        <v>0</v>
      </c>
      <c r="Z217" s="310">
        <f t="shared" si="79"/>
        <v>0</v>
      </c>
      <c r="AA217" s="321"/>
      <c r="AB217" s="251">
        <v>0</v>
      </c>
      <c r="AC217" s="251">
        <v>0</v>
      </c>
      <c r="AD217" s="310">
        <f t="shared" si="80"/>
        <v>0</v>
      </c>
      <c r="AE217" s="297">
        <f t="shared" si="71"/>
        <v>0</v>
      </c>
      <c r="AF217" s="290"/>
      <c r="AG217" s="334">
        <f t="shared" si="81"/>
        <v>0</v>
      </c>
    </row>
    <row r="218" spans="1:33" s="236" customFormat="1" ht="15" customHeight="1" hidden="1">
      <c r="A218" s="239" t="s">
        <v>1256</v>
      </c>
      <c r="B218" s="252" t="s">
        <v>293</v>
      </c>
      <c r="C218" s="252" t="s">
        <v>294</v>
      </c>
      <c r="D218" s="251">
        <v>0</v>
      </c>
      <c r="E218" s="251">
        <v>0</v>
      </c>
      <c r="F218" s="251">
        <f t="shared" si="74"/>
        <v>0</v>
      </c>
      <c r="G218" s="251">
        <v>0</v>
      </c>
      <c r="H218" s="310">
        <f t="shared" si="82"/>
        <v>0</v>
      </c>
      <c r="I218" s="290"/>
      <c r="J218" s="251">
        <v>0</v>
      </c>
      <c r="K218" s="251">
        <v>0</v>
      </c>
      <c r="L218" s="310">
        <f t="shared" si="75"/>
        <v>0</v>
      </c>
      <c r="M218" s="297">
        <f t="shared" si="83"/>
        <v>0</v>
      </c>
      <c r="N218" s="290"/>
      <c r="O218" s="251">
        <v>0</v>
      </c>
      <c r="P218" s="251">
        <v>0</v>
      </c>
      <c r="Q218" s="310">
        <f t="shared" si="76"/>
        <v>0</v>
      </c>
      <c r="R218" s="355"/>
      <c r="S218" s="251">
        <v>0</v>
      </c>
      <c r="T218" s="251">
        <v>0</v>
      </c>
      <c r="U218" s="310">
        <f t="shared" si="77"/>
        <v>0</v>
      </c>
      <c r="V218" s="297">
        <f t="shared" si="78"/>
        <v>0</v>
      </c>
      <c r="W218" s="290"/>
      <c r="X218" s="251">
        <v>0</v>
      </c>
      <c r="Y218" s="251">
        <v>0</v>
      </c>
      <c r="Z218" s="310">
        <f t="shared" si="79"/>
        <v>0</v>
      </c>
      <c r="AA218" s="321"/>
      <c r="AB218" s="251">
        <v>0</v>
      </c>
      <c r="AC218" s="251">
        <v>0</v>
      </c>
      <c r="AD218" s="310">
        <f t="shared" si="80"/>
        <v>0</v>
      </c>
      <c r="AE218" s="297">
        <f>Z218+AD218</f>
        <v>0</v>
      </c>
      <c r="AF218" s="290"/>
      <c r="AG218" s="334">
        <f t="shared" si="81"/>
        <v>0</v>
      </c>
    </row>
    <row r="219" spans="1:33" s="236" customFormat="1" ht="15" customHeight="1" hidden="1">
      <c r="A219" s="239" t="s">
        <v>1257</v>
      </c>
      <c r="B219" s="252" t="s">
        <v>295</v>
      </c>
      <c r="C219" s="252" t="s">
        <v>296</v>
      </c>
      <c r="D219" s="251">
        <v>0</v>
      </c>
      <c r="E219" s="251">
        <v>0</v>
      </c>
      <c r="F219" s="251">
        <f t="shared" si="74"/>
        <v>0</v>
      </c>
      <c r="G219" s="251">
        <v>0</v>
      </c>
      <c r="H219" s="310">
        <f t="shared" si="82"/>
        <v>0</v>
      </c>
      <c r="I219" s="290"/>
      <c r="J219" s="251">
        <v>0</v>
      </c>
      <c r="K219" s="251">
        <v>0</v>
      </c>
      <c r="L219" s="310">
        <f t="shared" si="75"/>
        <v>0</v>
      </c>
      <c r="M219" s="297">
        <f t="shared" si="83"/>
        <v>0</v>
      </c>
      <c r="N219" s="290"/>
      <c r="O219" s="251">
        <v>0</v>
      </c>
      <c r="P219" s="251">
        <v>0</v>
      </c>
      <c r="Q219" s="310">
        <f t="shared" si="76"/>
        <v>0</v>
      </c>
      <c r="R219" s="355"/>
      <c r="S219" s="251">
        <v>0</v>
      </c>
      <c r="T219" s="251">
        <v>0</v>
      </c>
      <c r="U219" s="310">
        <f t="shared" si="77"/>
        <v>0</v>
      </c>
      <c r="V219" s="297">
        <f t="shared" si="78"/>
        <v>0</v>
      </c>
      <c r="W219" s="290"/>
      <c r="X219" s="251">
        <v>0</v>
      </c>
      <c r="Y219" s="251">
        <v>0</v>
      </c>
      <c r="Z219" s="310">
        <f t="shared" si="79"/>
        <v>0</v>
      </c>
      <c r="AA219" s="321"/>
      <c r="AB219" s="251">
        <v>0</v>
      </c>
      <c r="AC219" s="251">
        <v>0</v>
      </c>
      <c r="AD219" s="310">
        <f t="shared" si="80"/>
        <v>0</v>
      </c>
      <c r="AE219" s="297">
        <f>Z219+AD219</f>
        <v>0</v>
      </c>
      <c r="AF219" s="290"/>
      <c r="AG219" s="334">
        <f t="shared" si="81"/>
        <v>0</v>
      </c>
    </row>
    <row r="220" spans="1:33" s="236" customFormat="1" ht="15" customHeight="1" hidden="1">
      <c r="A220" s="239" t="s">
        <v>1258</v>
      </c>
      <c r="B220" s="252" t="s">
        <v>297</v>
      </c>
      <c r="C220" s="252" t="s">
        <v>1073</v>
      </c>
      <c r="D220" s="251">
        <v>0</v>
      </c>
      <c r="E220" s="251">
        <v>0</v>
      </c>
      <c r="F220" s="251">
        <f t="shared" si="74"/>
        <v>0</v>
      </c>
      <c r="G220" s="251">
        <v>0</v>
      </c>
      <c r="H220" s="310">
        <f t="shared" si="82"/>
        <v>0</v>
      </c>
      <c r="I220" s="290"/>
      <c r="J220" s="251">
        <v>0</v>
      </c>
      <c r="K220" s="251">
        <v>0</v>
      </c>
      <c r="L220" s="310">
        <f t="shared" si="75"/>
        <v>0</v>
      </c>
      <c r="M220" s="297">
        <f t="shared" si="83"/>
        <v>0</v>
      </c>
      <c r="N220" s="290"/>
      <c r="O220" s="251">
        <v>0</v>
      </c>
      <c r="P220" s="251">
        <v>0</v>
      </c>
      <c r="Q220" s="310">
        <f t="shared" si="76"/>
        <v>0</v>
      </c>
      <c r="R220" s="355"/>
      <c r="S220" s="251">
        <v>0</v>
      </c>
      <c r="T220" s="251">
        <v>0</v>
      </c>
      <c r="U220" s="310">
        <f t="shared" si="77"/>
        <v>0</v>
      </c>
      <c r="V220" s="297">
        <f t="shared" si="78"/>
        <v>0</v>
      </c>
      <c r="W220" s="290"/>
      <c r="X220" s="251">
        <v>0</v>
      </c>
      <c r="Y220" s="251">
        <v>0</v>
      </c>
      <c r="Z220" s="310">
        <f t="shared" si="79"/>
        <v>0</v>
      </c>
      <c r="AA220" s="321"/>
      <c r="AB220" s="251">
        <v>0</v>
      </c>
      <c r="AC220" s="251">
        <v>0</v>
      </c>
      <c r="AD220" s="310">
        <f t="shared" si="80"/>
        <v>0</v>
      </c>
      <c r="AE220" s="297">
        <f>Z220+AD220</f>
        <v>0</v>
      </c>
      <c r="AF220" s="290"/>
      <c r="AG220" s="334">
        <f t="shared" si="81"/>
        <v>0</v>
      </c>
    </row>
    <row r="221" spans="1:33" s="236" customFormat="1" ht="15" customHeight="1">
      <c r="A221" s="239" t="s">
        <v>1259</v>
      </c>
      <c r="B221" s="252" t="s">
        <v>298</v>
      </c>
      <c r="C221" s="252" t="s">
        <v>276</v>
      </c>
      <c r="D221" s="251">
        <v>2559000</v>
      </c>
      <c r="E221" s="251">
        <v>0</v>
      </c>
      <c r="F221" s="251">
        <f t="shared" si="74"/>
        <v>2559000</v>
      </c>
      <c r="G221" s="251">
        <v>0</v>
      </c>
      <c r="H221" s="310">
        <f t="shared" si="82"/>
        <v>2559000</v>
      </c>
      <c r="I221" s="290"/>
      <c r="J221" s="251">
        <v>50000</v>
      </c>
      <c r="K221" s="251">
        <v>0</v>
      </c>
      <c r="L221" s="310">
        <f t="shared" si="75"/>
        <v>50000</v>
      </c>
      <c r="M221" s="297">
        <f t="shared" si="83"/>
        <v>2609000</v>
      </c>
      <c r="N221" s="290"/>
      <c r="O221" s="251">
        <v>0</v>
      </c>
      <c r="P221" s="251">
        <v>0</v>
      </c>
      <c r="Q221" s="310">
        <f t="shared" si="76"/>
        <v>0</v>
      </c>
      <c r="R221" s="355"/>
      <c r="S221" s="251">
        <v>100000</v>
      </c>
      <c r="T221" s="251">
        <v>0</v>
      </c>
      <c r="U221" s="310">
        <f t="shared" si="77"/>
        <v>100000</v>
      </c>
      <c r="V221" s="297">
        <f t="shared" si="78"/>
        <v>100000</v>
      </c>
      <c r="W221" s="290"/>
      <c r="X221" s="251">
        <v>0</v>
      </c>
      <c r="Y221" s="251">
        <v>0</v>
      </c>
      <c r="Z221" s="310">
        <f t="shared" si="79"/>
        <v>0</v>
      </c>
      <c r="AA221" s="321"/>
      <c r="AB221" s="251">
        <f>414650+350</f>
        <v>415000</v>
      </c>
      <c r="AC221" s="251">
        <v>0</v>
      </c>
      <c r="AD221" s="310">
        <f t="shared" si="80"/>
        <v>415000</v>
      </c>
      <c r="AE221" s="297">
        <f>Z221+AD221</f>
        <v>415000</v>
      </c>
      <c r="AF221" s="290"/>
      <c r="AG221" s="334">
        <f t="shared" si="81"/>
        <v>3124000</v>
      </c>
    </row>
    <row r="222" spans="1:33" s="318" customFormat="1" ht="7.5" customHeight="1">
      <c r="A222" s="239" t="s">
        <v>1260</v>
      </c>
      <c r="B222" s="317"/>
      <c r="C222" s="317"/>
      <c r="D222" s="258"/>
      <c r="E222" s="258"/>
      <c r="F222" s="258"/>
      <c r="G222" s="258"/>
      <c r="H222" s="258"/>
      <c r="I222" s="291"/>
      <c r="J222" s="258"/>
      <c r="K222" s="258"/>
      <c r="L222" s="258"/>
      <c r="M222" s="258"/>
      <c r="N222" s="291"/>
      <c r="O222" s="258"/>
      <c r="P222" s="258"/>
      <c r="Q222" s="258"/>
      <c r="R222" s="351"/>
      <c r="S222" s="258"/>
      <c r="T222" s="258"/>
      <c r="U222" s="258"/>
      <c r="V222" s="258"/>
      <c r="W222" s="291"/>
      <c r="X222" s="258"/>
      <c r="Y222" s="258"/>
      <c r="Z222" s="258"/>
      <c r="AA222" s="322"/>
      <c r="AB222" s="258"/>
      <c r="AC222" s="258"/>
      <c r="AD222" s="258"/>
      <c r="AE222" s="258"/>
      <c r="AF222" s="291"/>
      <c r="AG222" s="258"/>
    </row>
    <row r="223" spans="1:33" s="10" customFormat="1" ht="15" customHeight="1">
      <c r="A223" s="239" t="s">
        <v>1261</v>
      </c>
      <c r="B223" s="254" t="s">
        <v>933</v>
      </c>
      <c r="C223" s="254" t="s">
        <v>299</v>
      </c>
      <c r="D223" s="255">
        <f>D225+D227+D231+D235</f>
        <v>0</v>
      </c>
      <c r="E223" s="255">
        <f>E225+E227+E231+E235</f>
        <v>0</v>
      </c>
      <c r="F223" s="255">
        <f t="shared" si="74"/>
        <v>0</v>
      </c>
      <c r="G223" s="255">
        <f>G225+G227+G231+G235</f>
        <v>0</v>
      </c>
      <c r="H223" s="309">
        <f t="shared" si="82"/>
        <v>0</v>
      </c>
      <c r="I223" s="289"/>
      <c r="J223" s="255">
        <f>J225+J227+J231+J235</f>
        <v>0</v>
      </c>
      <c r="K223" s="255">
        <f>K225+K227+K231+K235</f>
        <v>0</v>
      </c>
      <c r="L223" s="309">
        <f t="shared" si="75"/>
        <v>0</v>
      </c>
      <c r="M223" s="266">
        <f t="shared" si="83"/>
        <v>0</v>
      </c>
      <c r="N223" s="289"/>
      <c r="O223" s="255">
        <f>O225+O227+O231+O235</f>
        <v>1024000</v>
      </c>
      <c r="P223" s="255">
        <f>P225+P227+P231+P235</f>
        <v>0</v>
      </c>
      <c r="Q223" s="309">
        <f t="shared" si="76"/>
        <v>1024000</v>
      </c>
      <c r="R223" s="354"/>
      <c r="S223" s="255">
        <f>S225+S227+S231+S235</f>
        <v>0</v>
      </c>
      <c r="T223" s="255">
        <f>T225+T227+T231+T235</f>
        <v>0</v>
      </c>
      <c r="U223" s="309">
        <f t="shared" si="77"/>
        <v>0</v>
      </c>
      <c r="V223" s="266">
        <f>Q223+U223</f>
        <v>1024000</v>
      </c>
      <c r="W223" s="289"/>
      <c r="X223" s="255">
        <f>X225+X227+X231+X235</f>
        <v>3000000</v>
      </c>
      <c r="Y223" s="255">
        <f>Y225+Y227+Y231+Y235</f>
        <v>12740000</v>
      </c>
      <c r="Z223" s="309">
        <f>SUM(X223:Y223)</f>
        <v>15740000</v>
      </c>
      <c r="AA223" s="320"/>
      <c r="AB223" s="255">
        <f>AB225+AB227+AB231+AB235</f>
        <v>0</v>
      </c>
      <c r="AC223" s="255">
        <f>AC225+AC227+AC231+AC235</f>
        <v>-12740000</v>
      </c>
      <c r="AD223" s="309">
        <f>SUM(AB223:AC223)</f>
        <v>-12740000</v>
      </c>
      <c r="AE223" s="266">
        <f aca="true" t="shared" si="84" ref="AE223:AE260">Z223+AD223</f>
        <v>3000000</v>
      </c>
      <c r="AF223" s="289">
        <f>AF225+AF227+AF231+AF235</f>
        <v>0</v>
      </c>
      <c r="AG223" s="285">
        <f>M223+V223+AE223</f>
        <v>4024000</v>
      </c>
    </row>
    <row r="224" spans="1:33" s="10" customFormat="1" ht="15" customHeight="1" hidden="1">
      <c r="A224" s="239" t="s">
        <v>1262</v>
      </c>
      <c r="B224" s="254"/>
      <c r="C224" s="254"/>
      <c r="D224" s="255"/>
      <c r="E224" s="255"/>
      <c r="F224" s="255"/>
      <c r="G224" s="255"/>
      <c r="H224" s="309"/>
      <c r="I224" s="289"/>
      <c r="J224" s="255"/>
      <c r="K224" s="255"/>
      <c r="L224" s="309"/>
      <c r="M224" s="266"/>
      <c r="N224" s="289"/>
      <c r="O224" s="255"/>
      <c r="P224" s="255"/>
      <c r="Q224" s="309"/>
      <c r="R224" s="354"/>
      <c r="S224" s="255"/>
      <c r="T224" s="255"/>
      <c r="U224" s="309"/>
      <c r="V224" s="266">
        <f>Q224+U224</f>
        <v>0</v>
      </c>
      <c r="W224" s="289"/>
      <c r="X224" s="255"/>
      <c r="Y224" s="255"/>
      <c r="Z224" s="309"/>
      <c r="AA224" s="320"/>
      <c r="AB224" s="255"/>
      <c r="AC224" s="255"/>
      <c r="AD224" s="309"/>
      <c r="AE224" s="266">
        <f t="shared" si="84"/>
        <v>0</v>
      </c>
      <c r="AF224" s="289"/>
      <c r="AG224" s="285"/>
    </row>
    <row r="225" spans="1:33" ht="15" customHeight="1" hidden="1">
      <c r="A225" s="239" t="s">
        <v>1324</v>
      </c>
      <c r="B225" s="263" t="s">
        <v>934</v>
      </c>
      <c r="C225" s="263" t="s">
        <v>300</v>
      </c>
      <c r="D225" s="264">
        <v>0</v>
      </c>
      <c r="E225" s="264">
        <v>0</v>
      </c>
      <c r="F225" s="264">
        <f t="shared" si="74"/>
        <v>0</v>
      </c>
      <c r="G225" s="264">
        <v>0</v>
      </c>
      <c r="H225" s="312">
        <f t="shared" si="82"/>
        <v>0</v>
      </c>
      <c r="I225" s="292"/>
      <c r="J225" s="264">
        <v>0</v>
      </c>
      <c r="K225" s="264">
        <v>0</v>
      </c>
      <c r="L225" s="312">
        <f t="shared" si="75"/>
        <v>0</v>
      </c>
      <c r="M225" s="299">
        <f t="shared" si="83"/>
        <v>0</v>
      </c>
      <c r="N225" s="292"/>
      <c r="O225" s="264">
        <v>0</v>
      </c>
      <c r="P225" s="264">
        <v>0</v>
      </c>
      <c r="Q225" s="312">
        <f t="shared" si="76"/>
        <v>0</v>
      </c>
      <c r="R225" s="353"/>
      <c r="S225" s="264">
        <v>0</v>
      </c>
      <c r="T225" s="264">
        <v>0</v>
      </c>
      <c r="U225" s="312">
        <f t="shared" si="77"/>
        <v>0</v>
      </c>
      <c r="V225" s="299">
        <f>Q225+U225</f>
        <v>0</v>
      </c>
      <c r="W225" s="292"/>
      <c r="X225" s="264">
        <v>0</v>
      </c>
      <c r="Y225" s="264">
        <v>0</v>
      </c>
      <c r="Z225" s="312">
        <f>SUM(X225:Y225)</f>
        <v>0</v>
      </c>
      <c r="AA225" s="323"/>
      <c r="AB225" s="264">
        <v>0</v>
      </c>
      <c r="AC225" s="264">
        <v>0</v>
      </c>
      <c r="AD225" s="312">
        <f>SUM(AB225:AC225)</f>
        <v>0</v>
      </c>
      <c r="AE225" s="299">
        <f t="shared" si="84"/>
        <v>0</v>
      </c>
      <c r="AF225" s="292"/>
      <c r="AG225" s="336">
        <f>M225+V225+AE225</f>
        <v>0</v>
      </c>
    </row>
    <row r="226" spans="1:33" s="5" customFormat="1" ht="8.25" customHeight="1">
      <c r="A226" s="239" t="s">
        <v>1263</v>
      </c>
      <c r="B226" s="278"/>
      <c r="C226" s="278"/>
      <c r="D226" s="279"/>
      <c r="E226" s="279"/>
      <c r="F226" s="279"/>
      <c r="G226" s="279"/>
      <c r="H226" s="279"/>
      <c r="I226" s="292"/>
      <c r="J226" s="279"/>
      <c r="K226" s="279"/>
      <c r="L226" s="279"/>
      <c r="M226" s="279"/>
      <c r="N226" s="292"/>
      <c r="O226" s="279"/>
      <c r="P226" s="279"/>
      <c r="Q226" s="279"/>
      <c r="R226" s="353"/>
      <c r="S226" s="279"/>
      <c r="T226" s="279"/>
      <c r="U226" s="279"/>
      <c r="V226" s="279"/>
      <c r="W226" s="292"/>
      <c r="X226" s="279"/>
      <c r="Y226" s="279"/>
      <c r="Z226" s="279"/>
      <c r="AA226" s="323"/>
      <c r="AB226" s="279"/>
      <c r="AC226" s="279"/>
      <c r="AD226" s="279"/>
      <c r="AE226" s="279">
        <f t="shared" si="84"/>
        <v>0</v>
      </c>
      <c r="AF226" s="292"/>
      <c r="AG226" s="279"/>
    </row>
    <row r="227" spans="1:33" ht="15" customHeight="1">
      <c r="A227" s="239" t="s">
        <v>1325</v>
      </c>
      <c r="B227" s="261" t="s">
        <v>545</v>
      </c>
      <c r="C227" s="261" t="s">
        <v>301</v>
      </c>
      <c r="D227" s="262">
        <f>SUM(D229+D228)</f>
        <v>0</v>
      </c>
      <c r="E227" s="262">
        <f>SUM(E229+E228)</f>
        <v>0</v>
      </c>
      <c r="F227" s="262">
        <f t="shared" si="74"/>
        <v>0</v>
      </c>
      <c r="G227" s="262">
        <f>SUM(G229+G228)</f>
        <v>0</v>
      </c>
      <c r="H227" s="312">
        <f t="shared" si="82"/>
        <v>0</v>
      </c>
      <c r="I227" s="292"/>
      <c r="J227" s="262">
        <f>SUM(J229+J228)</f>
        <v>0</v>
      </c>
      <c r="K227" s="262">
        <f>SUM(K229+K228)</f>
        <v>0</v>
      </c>
      <c r="L227" s="312">
        <f t="shared" si="75"/>
        <v>0</v>
      </c>
      <c r="M227" s="299">
        <f t="shared" si="83"/>
        <v>0</v>
      </c>
      <c r="N227" s="292"/>
      <c r="O227" s="262">
        <f>SUM(O229+O228)</f>
        <v>1024000</v>
      </c>
      <c r="P227" s="262">
        <f>SUM(P229+P228)</f>
        <v>0</v>
      </c>
      <c r="Q227" s="312">
        <f t="shared" si="76"/>
        <v>1024000</v>
      </c>
      <c r="R227" s="353"/>
      <c r="S227" s="262">
        <f>SUM(S229+S228)</f>
        <v>0</v>
      </c>
      <c r="T227" s="262">
        <f>SUM(T229+T228)</f>
        <v>0</v>
      </c>
      <c r="U227" s="312">
        <f t="shared" si="77"/>
        <v>0</v>
      </c>
      <c r="V227" s="299">
        <f>Q227+U227</f>
        <v>1024000</v>
      </c>
      <c r="W227" s="292"/>
      <c r="X227" s="262">
        <f>SUM(X229+X228)</f>
        <v>3000000</v>
      </c>
      <c r="Y227" s="262">
        <f>SUM(Y229+Y228)</f>
        <v>12740000</v>
      </c>
      <c r="Z227" s="312">
        <f>SUM(X227:Y227)</f>
        <v>15740000</v>
      </c>
      <c r="AA227" s="323"/>
      <c r="AB227" s="262">
        <f>SUM(AB229+AB228)</f>
        <v>0</v>
      </c>
      <c r="AC227" s="262">
        <f>SUM(AC229+AC228)</f>
        <v>-12740000</v>
      </c>
      <c r="AD227" s="312">
        <f>SUM(AB227:AC227)</f>
        <v>-12740000</v>
      </c>
      <c r="AE227" s="299">
        <f t="shared" si="84"/>
        <v>3000000</v>
      </c>
      <c r="AF227" s="292"/>
      <c r="AG227" s="336">
        <f>M227+V227+AE227</f>
        <v>4024000</v>
      </c>
    </row>
    <row r="228" spans="1:33" s="236" customFormat="1" ht="15" customHeight="1">
      <c r="A228" s="239" t="s">
        <v>1264</v>
      </c>
      <c r="B228" s="250" t="s">
        <v>29</v>
      </c>
      <c r="C228" s="250" t="s">
        <v>302</v>
      </c>
      <c r="D228" s="273">
        <v>0</v>
      </c>
      <c r="E228" s="273">
        <v>0</v>
      </c>
      <c r="F228" s="273">
        <f t="shared" si="74"/>
        <v>0</v>
      </c>
      <c r="G228" s="273">
        <v>0</v>
      </c>
      <c r="H228" s="310">
        <f t="shared" si="82"/>
        <v>0</v>
      </c>
      <c r="I228" s="290"/>
      <c r="J228" s="273">
        <v>0</v>
      </c>
      <c r="K228" s="273">
        <v>0</v>
      </c>
      <c r="L228" s="310">
        <f t="shared" si="75"/>
        <v>0</v>
      </c>
      <c r="M228" s="297">
        <f t="shared" si="83"/>
        <v>0</v>
      </c>
      <c r="N228" s="290"/>
      <c r="O228" s="273">
        <v>1024000</v>
      </c>
      <c r="P228" s="273">
        <v>0</v>
      </c>
      <c r="Q228" s="310">
        <f t="shared" si="76"/>
        <v>1024000</v>
      </c>
      <c r="R228" s="355"/>
      <c r="S228" s="273">
        <v>0</v>
      </c>
      <c r="T228" s="273">
        <v>0</v>
      </c>
      <c r="U228" s="310">
        <f t="shared" si="77"/>
        <v>0</v>
      </c>
      <c r="V228" s="297">
        <f>Q228+U228</f>
        <v>1024000</v>
      </c>
      <c r="W228" s="290"/>
      <c r="X228" s="273">
        <v>3000000</v>
      </c>
      <c r="Y228" s="273">
        <v>12740000</v>
      </c>
      <c r="Z228" s="310">
        <f>SUM(X228:Y228)</f>
        <v>15740000</v>
      </c>
      <c r="AA228" s="321"/>
      <c r="AB228" s="273">
        <v>0</v>
      </c>
      <c r="AC228" s="273">
        <v>-12740000</v>
      </c>
      <c r="AD228" s="310">
        <f>SUM(AB228:AC228)</f>
        <v>-12740000</v>
      </c>
      <c r="AE228" s="297">
        <f t="shared" si="84"/>
        <v>3000000</v>
      </c>
      <c r="AF228" s="290"/>
      <c r="AG228" s="334">
        <f>M228+V228+AE228</f>
        <v>4024000</v>
      </c>
    </row>
    <row r="229" spans="1:33" s="236" customFormat="1" ht="15" customHeight="1" hidden="1">
      <c r="A229" s="239" t="s">
        <v>1326</v>
      </c>
      <c r="B229" s="252" t="s">
        <v>303</v>
      </c>
      <c r="C229" s="252" t="s">
        <v>304</v>
      </c>
      <c r="D229" s="251">
        <v>0</v>
      </c>
      <c r="E229" s="251">
        <v>0</v>
      </c>
      <c r="F229" s="251">
        <f t="shared" si="74"/>
        <v>0</v>
      </c>
      <c r="G229" s="251">
        <v>0</v>
      </c>
      <c r="H229" s="310">
        <f t="shared" si="82"/>
        <v>0</v>
      </c>
      <c r="I229" s="290"/>
      <c r="J229" s="251">
        <v>0</v>
      </c>
      <c r="K229" s="251">
        <v>0</v>
      </c>
      <c r="L229" s="310">
        <f t="shared" si="75"/>
        <v>0</v>
      </c>
      <c r="M229" s="297">
        <f t="shared" si="83"/>
        <v>0</v>
      </c>
      <c r="N229" s="290"/>
      <c r="O229" s="251">
        <v>0</v>
      </c>
      <c r="P229" s="251">
        <v>0</v>
      </c>
      <c r="Q229" s="310">
        <f t="shared" si="76"/>
        <v>0</v>
      </c>
      <c r="R229" s="355"/>
      <c r="S229" s="251">
        <v>0</v>
      </c>
      <c r="T229" s="251">
        <v>0</v>
      </c>
      <c r="U229" s="310">
        <f t="shared" si="77"/>
        <v>0</v>
      </c>
      <c r="V229" s="297">
        <f>Q229+U229</f>
        <v>0</v>
      </c>
      <c r="W229" s="290"/>
      <c r="X229" s="251">
        <v>0</v>
      </c>
      <c r="Y229" s="251">
        <v>0</v>
      </c>
      <c r="Z229" s="310">
        <f>SUM(X229:Y229)</f>
        <v>0</v>
      </c>
      <c r="AA229" s="321"/>
      <c r="AB229" s="251">
        <v>0</v>
      </c>
      <c r="AC229" s="251">
        <v>0</v>
      </c>
      <c r="AD229" s="310">
        <f>SUM(AB229:AC229)</f>
        <v>0</v>
      </c>
      <c r="AE229" s="297">
        <f t="shared" si="84"/>
        <v>0</v>
      </c>
      <c r="AF229" s="290"/>
      <c r="AG229" s="334">
        <f>M229+V229+AE229</f>
        <v>0</v>
      </c>
    </row>
    <row r="230" spans="1:33" s="5" customFormat="1" ht="6.75" customHeight="1">
      <c r="A230" s="239" t="s">
        <v>1265</v>
      </c>
      <c r="B230" s="278"/>
      <c r="C230" s="278"/>
      <c r="D230" s="279"/>
      <c r="E230" s="279"/>
      <c r="F230" s="279"/>
      <c r="G230" s="279"/>
      <c r="H230" s="279"/>
      <c r="I230" s="292"/>
      <c r="J230" s="279"/>
      <c r="K230" s="279"/>
      <c r="L230" s="279"/>
      <c r="M230" s="279"/>
      <c r="N230" s="292"/>
      <c r="O230" s="279"/>
      <c r="P230" s="279"/>
      <c r="Q230" s="279"/>
      <c r="R230" s="353"/>
      <c r="S230" s="279"/>
      <c r="T230" s="279"/>
      <c r="U230" s="279"/>
      <c r="V230" s="279"/>
      <c r="W230" s="292"/>
      <c r="X230" s="279"/>
      <c r="Y230" s="279"/>
      <c r="Z230" s="279"/>
      <c r="AA230" s="323"/>
      <c r="AB230" s="279"/>
      <c r="AC230" s="279"/>
      <c r="AD230" s="279"/>
      <c r="AE230" s="279">
        <f t="shared" si="84"/>
        <v>0</v>
      </c>
      <c r="AF230" s="292"/>
      <c r="AG230" s="279"/>
    </row>
    <row r="231" spans="1:33" ht="15" customHeight="1">
      <c r="A231" s="239" t="s">
        <v>1266</v>
      </c>
      <c r="B231" s="263" t="s">
        <v>549</v>
      </c>
      <c r="C231" s="263" t="s">
        <v>305</v>
      </c>
      <c r="D231" s="264">
        <f>SUM(D232:D233)</f>
        <v>0</v>
      </c>
      <c r="E231" s="264">
        <f>SUM(E232:E233)</f>
        <v>0</v>
      </c>
      <c r="F231" s="264">
        <f t="shared" si="74"/>
        <v>0</v>
      </c>
      <c r="G231" s="264">
        <f>SUM(G232:G233)</f>
        <v>0</v>
      </c>
      <c r="H231" s="312">
        <f t="shared" si="82"/>
        <v>0</v>
      </c>
      <c r="I231" s="292"/>
      <c r="J231" s="264">
        <f>SUM(J232:J233)</f>
        <v>0</v>
      </c>
      <c r="K231" s="264">
        <f>SUM(K232:K233)</f>
        <v>0</v>
      </c>
      <c r="L231" s="312">
        <f t="shared" si="75"/>
        <v>0</v>
      </c>
      <c r="M231" s="299">
        <f t="shared" si="83"/>
        <v>0</v>
      </c>
      <c r="N231" s="292"/>
      <c r="O231" s="264">
        <f>SUM(O232:O233)</f>
        <v>0</v>
      </c>
      <c r="P231" s="264">
        <f>SUM(P232:P233)</f>
        <v>0</v>
      </c>
      <c r="Q231" s="312">
        <f t="shared" si="76"/>
        <v>0</v>
      </c>
      <c r="R231" s="353"/>
      <c r="S231" s="264">
        <f>SUM(S232:S233)</f>
        <v>0</v>
      </c>
      <c r="T231" s="264">
        <f>SUM(T232:T233)</f>
        <v>0</v>
      </c>
      <c r="U231" s="312">
        <f t="shared" si="77"/>
        <v>0</v>
      </c>
      <c r="V231" s="299">
        <f>Q231+U231</f>
        <v>0</v>
      </c>
      <c r="W231" s="292"/>
      <c r="X231" s="264">
        <f>SUM(X232:X233)</f>
        <v>0</v>
      </c>
      <c r="Y231" s="264">
        <f>SUM(Y232:Y233)</f>
        <v>0</v>
      </c>
      <c r="Z231" s="312">
        <f>SUM(X231:Y231)</f>
        <v>0</v>
      </c>
      <c r="AA231" s="323"/>
      <c r="AB231" s="264">
        <f>SUM(AB232:AB233)</f>
        <v>0</v>
      </c>
      <c r="AC231" s="264">
        <f>SUM(AC232:AC233)</f>
        <v>0</v>
      </c>
      <c r="AD231" s="312">
        <f>SUM(AB231:AC231)</f>
        <v>0</v>
      </c>
      <c r="AE231" s="299">
        <f t="shared" si="84"/>
        <v>0</v>
      </c>
      <c r="AF231" s="292"/>
      <c r="AG231" s="336">
        <f>M231+V231+AE231</f>
        <v>0</v>
      </c>
    </row>
    <row r="232" spans="1:33" s="236" customFormat="1" ht="15" customHeight="1" hidden="1">
      <c r="A232" s="239" t="s">
        <v>1267</v>
      </c>
      <c r="B232" s="250" t="s">
        <v>306</v>
      </c>
      <c r="C232" s="250" t="s">
        <v>307</v>
      </c>
      <c r="D232" s="273">
        <v>0</v>
      </c>
      <c r="E232" s="273">
        <v>0</v>
      </c>
      <c r="F232" s="273">
        <f t="shared" si="74"/>
        <v>0</v>
      </c>
      <c r="G232" s="273">
        <v>0</v>
      </c>
      <c r="H232" s="310">
        <f t="shared" si="82"/>
        <v>0</v>
      </c>
      <c r="I232" s="290"/>
      <c r="J232" s="273">
        <v>0</v>
      </c>
      <c r="K232" s="273">
        <v>0</v>
      </c>
      <c r="L232" s="310">
        <f t="shared" si="75"/>
        <v>0</v>
      </c>
      <c r="M232" s="297">
        <f t="shared" si="83"/>
        <v>0</v>
      </c>
      <c r="N232" s="290"/>
      <c r="O232" s="273">
        <v>0</v>
      </c>
      <c r="P232" s="273">
        <v>0</v>
      </c>
      <c r="Q232" s="310">
        <f t="shared" si="76"/>
        <v>0</v>
      </c>
      <c r="R232" s="355"/>
      <c r="S232" s="273">
        <v>0</v>
      </c>
      <c r="T232" s="273">
        <v>0</v>
      </c>
      <c r="U232" s="310">
        <f t="shared" si="77"/>
        <v>0</v>
      </c>
      <c r="V232" s="297">
        <f>Q232+U232</f>
        <v>0</v>
      </c>
      <c r="W232" s="290"/>
      <c r="X232" s="273">
        <v>0</v>
      </c>
      <c r="Y232" s="273">
        <v>0</v>
      </c>
      <c r="Z232" s="310">
        <f>SUM(X232:Y232)</f>
        <v>0</v>
      </c>
      <c r="AA232" s="321"/>
      <c r="AB232" s="273">
        <v>0</v>
      </c>
      <c r="AC232" s="273">
        <v>0</v>
      </c>
      <c r="AD232" s="310">
        <f>SUM(AB232:AC232)</f>
        <v>0</v>
      </c>
      <c r="AE232" s="297">
        <f t="shared" si="84"/>
        <v>0</v>
      </c>
      <c r="AF232" s="290"/>
      <c r="AG232" s="334">
        <f>M232+V232+AE232</f>
        <v>0</v>
      </c>
    </row>
    <row r="233" spans="1:33" s="236" customFormat="1" ht="15" customHeight="1" hidden="1">
      <c r="A233" s="239" t="s">
        <v>1327</v>
      </c>
      <c r="B233" s="250" t="s">
        <v>308</v>
      </c>
      <c r="C233" s="250" t="s">
        <v>309</v>
      </c>
      <c r="D233" s="273">
        <v>0</v>
      </c>
      <c r="E233" s="273">
        <v>0</v>
      </c>
      <c r="F233" s="273">
        <f t="shared" si="74"/>
        <v>0</v>
      </c>
      <c r="G233" s="273">
        <v>0</v>
      </c>
      <c r="H233" s="310">
        <f t="shared" si="82"/>
        <v>0</v>
      </c>
      <c r="I233" s="290"/>
      <c r="J233" s="273">
        <v>0</v>
      </c>
      <c r="K233" s="273">
        <v>0</v>
      </c>
      <c r="L233" s="310">
        <f t="shared" si="75"/>
        <v>0</v>
      </c>
      <c r="M233" s="297">
        <f t="shared" si="83"/>
        <v>0</v>
      </c>
      <c r="N233" s="290"/>
      <c r="O233" s="273">
        <v>0</v>
      </c>
      <c r="P233" s="273">
        <v>0</v>
      </c>
      <c r="Q233" s="310">
        <f t="shared" si="76"/>
        <v>0</v>
      </c>
      <c r="R233" s="355"/>
      <c r="S233" s="273">
        <v>0</v>
      </c>
      <c r="T233" s="273">
        <v>0</v>
      </c>
      <c r="U233" s="310">
        <f t="shared" si="77"/>
        <v>0</v>
      </c>
      <c r="V233" s="297">
        <f>Q233+U233</f>
        <v>0</v>
      </c>
      <c r="W233" s="290"/>
      <c r="X233" s="273">
        <v>0</v>
      </c>
      <c r="Y233" s="273">
        <v>0</v>
      </c>
      <c r="Z233" s="310">
        <f>SUM(X233:Y233)</f>
        <v>0</v>
      </c>
      <c r="AA233" s="321"/>
      <c r="AB233" s="273">
        <v>0</v>
      </c>
      <c r="AC233" s="273">
        <v>0</v>
      </c>
      <c r="AD233" s="310">
        <f>SUM(AB233:AC233)</f>
        <v>0</v>
      </c>
      <c r="AE233" s="297">
        <f t="shared" si="84"/>
        <v>0</v>
      </c>
      <c r="AF233" s="290"/>
      <c r="AG233" s="334">
        <f>M233+V233+AE233</f>
        <v>0</v>
      </c>
    </row>
    <row r="234" spans="1:33" s="5" customFormat="1" ht="7.5" customHeight="1">
      <c r="A234" s="239" t="s">
        <v>1268</v>
      </c>
      <c r="B234" s="278"/>
      <c r="C234" s="278"/>
      <c r="D234" s="279"/>
      <c r="E234" s="279"/>
      <c r="F234" s="279"/>
      <c r="G234" s="279"/>
      <c r="H234" s="279"/>
      <c r="I234" s="292"/>
      <c r="J234" s="279"/>
      <c r="K234" s="279"/>
      <c r="L234" s="279"/>
      <c r="M234" s="279"/>
      <c r="N234" s="292"/>
      <c r="O234" s="279"/>
      <c r="P234" s="279"/>
      <c r="Q234" s="279"/>
      <c r="R234" s="353"/>
      <c r="S234" s="279"/>
      <c r="T234" s="279"/>
      <c r="U234" s="279"/>
      <c r="V234" s="279"/>
      <c r="W234" s="292"/>
      <c r="X234" s="279"/>
      <c r="Y234" s="279"/>
      <c r="Z234" s="279"/>
      <c r="AA234" s="323"/>
      <c r="AB234" s="279"/>
      <c r="AC234" s="279"/>
      <c r="AD234" s="279"/>
      <c r="AE234" s="279">
        <f t="shared" si="84"/>
        <v>0</v>
      </c>
      <c r="AF234" s="292"/>
      <c r="AG234" s="279"/>
    </row>
    <row r="235" spans="1:33" ht="15" customHeight="1">
      <c r="A235" s="239" t="s">
        <v>1269</v>
      </c>
      <c r="B235" s="263" t="s">
        <v>935</v>
      </c>
      <c r="C235" s="263" t="s">
        <v>310</v>
      </c>
      <c r="D235" s="264">
        <f>SUM(D236:D237)</f>
        <v>0</v>
      </c>
      <c r="E235" s="264">
        <f>SUM(E236:E237)</f>
        <v>0</v>
      </c>
      <c r="F235" s="264">
        <f t="shared" si="74"/>
        <v>0</v>
      </c>
      <c r="G235" s="264">
        <f>SUM(G236:G237)</f>
        <v>0</v>
      </c>
      <c r="H235" s="312">
        <f t="shared" si="82"/>
        <v>0</v>
      </c>
      <c r="I235" s="292"/>
      <c r="J235" s="264">
        <f>SUM(J236:J237)</f>
        <v>0</v>
      </c>
      <c r="K235" s="264">
        <f>SUM(K236:K237)</f>
        <v>0</v>
      </c>
      <c r="L235" s="312">
        <f t="shared" si="75"/>
        <v>0</v>
      </c>
      <c r="M235" s="299">
        <f t="shared" si="83"/>
        <v>0</v>
      </c>
      <c r="N235" s="292"/>
      <c r="O235" s="264">
        <f>SUM(O236:O237)</f>
        <v>0</v>
      </c>
      <c r="P235" s="264">
        <f>SUM(P236:P237)</f>
        <v>0</v>
      </c>
      <c r="Q235" s="312">
        <f t="shared" si="76"/>
        <v>0</v>
      </c>
      <c r="R235" s="353"/>
      <c r="S235" s="264">
        <f>SUM(S236:S237)</f>
        <v>0</v>
      </c>
      <c r="T235" s="264">
        <f>SUM(T236:T237)</f>
        <v>0</v>
      </c>
      <c r="U235" s="312">
        <f t="shared" si="77"/>
        <v>0</v>
      </c>
      <c r="V235" s="299">
        <f>Q235+U235</f>
        <v>0</v>
      </c>
      <c r="W235" s="292"/>
      <c r="X235" s="264">
        <f>SUM(X236:X237)</f>
        <v>0</v>
      </c>
      <c r="Y235" s="264">
        <f>SUM(Y236:Y237)</f>
        <v>0</v>
      </c>
      <c r="Z235" s="312">
        <f>SUM(X235:Y235)</f>
        <v>0</v>
      </c>
      <c r="AA235" s="323"/>
      <c r="AB235" s="264">
        <f>SUM(AB236:AB237)</f>
        <v>0</v>
      </c>
      <c r="AC235" s="264">
        <f>SUM(AC236:AC237)</f>
        <v>0</v>
      </c>
      <c r="AD235" s="312">
        <f>SUM(AB235:AC235)</f>
        <v>0</v>
      </c>
      <c r="AE235" s="299">
        <f t="shared" si="84"/>
        <v>0</v>
      </c>
      <c r="AF235" s="292"/>
      <c r="AG235" s="336">
        <f>M235+V235+AE235</f>
        <v>0</v>
      </c>
    </row>
    <row r="236" spans="1:33" s="236" customFormat="1" ht="15" customHeight="1" hidden="1">
      <c r="A236" s="239" t="s">
        <v>1270</v>
      </c>
      <c r="B236" s="252" t="s">
        <v>311</v>
      </c>
      <c r="C236" s="252" t="s">
        <v>369</v>
      </c>
      <c r="D236" s="251">
        <v>0</v>
      </c>
      <c r="E236" s="251">
        <v>0</v>
      </c>
      <c r="F236" s="251">
        <f t="shared" si="74"/>
        <v>0</v>
      </c>
      <c r="G236" s="251">
        <v>0</v>
      </c>
      <c r="H236" s="310">
        <f t="shared" si="82"/>
        <v>0</v>
      </c>
      <c r="I236" s="290"/>
      <c r="J236" s="251">
        <v>0</v>
      </c>
      <c r="K236" s="251">
        <v>0</v>
      </c>
      <c r="L236" s="310">
        <f t="shared" si="75"/>
        <v>0</v>
      </c>
      <c r="M236" s="297">
        <f t="shared" si="83"/>
        <v>0</v>
      </c>
      <c r="N236" s="290"/>
      <c r="O236" s="251">
        <v>0</v>
      </c>
      <c r="P236" s="251">
        <v>0</v>
      </c>
      <c r="Q236" s="310">
        <f t="shared" si="76"/>
        <v>0</v>
      </c>
      <c r="R236" s="355"/>
      <c r="S236" s="251">
        <v>0</v>
      </c>
      <c r="T236" s="251">
        <v>0</v>
      </c>
      <c r="U236" s="310">
        <f t="shared" si="77"/>
        <v>0</v>
      </c>
      <c r="V236" s="297">
        <f>Q236+U236</f>
        <v>0</v>
      </c>
      <c r="W236" s="290"/>
      <c r="X236" s="251">
        <v>0</v>
      </c>
      <c r="Y236" s="251">
        <v>0</v>
      </c>
      <c r="Z236" s="310">
        <f>SUM(X236:Y236)</f>
        <v>0</v>
      </c>
      <c r="AA236" s="321"/>
      <c r="AB236" s="251">
        <v>0</v>
      </c>
      <c r="AC236" s="251">
        <v>0</v>
      </c>
      <c r="AD236" s="310">
        <f>SUM(AB236:AC236)</f>
        <v>0</v>
      </c>
      <c r="AE236" s="297">
        <f t="shared" si="84"/>
        <v>0</v>
      </c>
      <c r="AF236" s="290"/>
      <c r="AG236" s="334">
        <f>M236+V236+AE236</f>
        <v>0</v>
      </c>
    </row>
    <row r="237" spans="1:33" s="236" customFormat="1" ht="15" customHeight="1" hidden="1">
      <c r="A237" s="239" t="s">
        <v>1328</v>
      </c>
      <c r="B237" s="250" t="s">
        <v>312</v>
      </c>
      <c r="C237" s="250" t="s">
        <v>313</v>
      </c>
      <c r="D237" s="273">
        <v>0</v>
      </c>
      <c r="E237" s="273">
        <v>0</v>
      </c>
      <c r="F237" s="273">
        <f t="shared" si="74"/>
        <v>0</v>
      </c>
      <c r="G237" s="273">
        <v>0</v>
      </c>
      <c r="H237" s="310">
        <f t="shared" si="82"/>
        <v>0</v>
      </c>
      <c r="I237" s="290"/>
      <c r="J237" s="273">
        <v>0</v>
      </c>
      <c r="K237" s="273">
        <v>0</v>
      </c>
      <c r="L237" s="310">
        <f t="shared" si="75"/>
        <v>0</v>
      </c>
      <c r="M237" s="297">
        <f t="shared" si="83"/>
        <v>0</v>
      </c>
      <c r="N237" s="290"/>
      <c r="O237" s="273">
        <v>0</v>
      </c>
      <c r="P237" s="273">
        <v>0</v>
      </c>
      <c r="Q237" s="310">
        <f t="shared" si="76"/>
        <v>0</v>
      </c>
      <c r="R237" s="355"/>
      <c r="S237" s="273">
        <v>0</v>
      </c>
      <c r="T237" s="273">
        <v>0</v>
      </c>
      <c r="U237" s="310">
        <f t="shared" si="77"/>
        <v>0</v>
      </c>
      <c r="V237" s="297">
        <f>Q237+U237</f>
        <v>0</v>
      </c>
      <c r="W237" s="290"/>
      <c r="X237" s="273">
        <v>0</v>
      </c>
      <c r="Y237" s="273">
        <v>0</v>
      </c>
      <c r="Z237" s="310">
        <f>SUM(X237:Y237)</f>
        <v>0</v>
      </c>
      <c r="AA237" s="321"/>
      <c r="AB237" s="273">
        <v>0</v>
      </c>
      <c r="AC237" s="273">
        <v>0</v>
      </c>
      <c r="AD237" s="310">
        <f>SUM(AB237:AC237)</f>
        <v>0</v>
      </c>
      <c r="AE237" s="297">
        <f t="shared" si="84"/>
        <v>0</v>
      </c>
      <c r="AF237" s="290"/>
      <c r="AG237" s="334">
        <f>M237+V237+AE237</f>
        <v>0</v>
      </c>
    </row>
    <row r="238" spans="1:33" s="5" customFormat="1" ht="8.25" customHeight="1">
      <c r="A238" s="239" t="s">
        <v>1271</v>
      </c>
      <c r="B238" s="278"/>
      <c r="C238" s="278"/>
      <c r="D238" s="279"/>
      <c r="E238" s="279"/>
      <c r="F238" s="279"/>
      <c r="G238" s="279"/>
      <c r="H238" s="279"/>
      <c r="I238" s="292"/>
      <c r="J238" s="279"/>
      <c r="K238" s="279"/>
      <c r="L238" s="279"/>
      <c r="M238" s="279"/>
      <c r="N238" s="292"/>
      <c r="O238" s="279"/>
      <c r="P238" s="279"/>
      <c r="Q238" s="279"/>
      <c r="R238" s="353"/>
      <c r="S238" s="279"/>
      <c r="T238" s="279"/>
      <c r="U238" s="279"/>
      <c r="V238" s="279"/>
      <c r="W238" s="292"/>
      <c r="X238" s="279"/>
      <c r="Y238" s="279"/>
      <c r="Z238" s="279"/>
      <c r="AA238" s="323"/>
      <c r="AB238" s="279"/>
      <c r="AC238" s="279"/>
      <c r="AD238" s="279"/>
      <c r="AE238" s="279">
        <f t="shared" si="84"/>
        <v>0</v>
      </c>
      <c r="AF238" s="292"/>
      <c r="AG238" s="279"/>
    </row>
    <row r="239" spans="1:33" s="10" customFormat="1" ht="15" customHeight="1">
      <c r="A239" s="239" t="s">
        <v>1272</v>
      </c>
      <c r="B239" s="282" t="s">
        <v>936</v>
      </c>
      <c r="C239" s="282" t="s">
        <v>314</v>
      </c>
      <c r="D239" s="285">
        <f>D223+D208+D202+D183+D161+D157+D153+D149+D147+D142+D133+D127+D122</f>
        <v>13918000</v>
      </c>
      <c r="E239" s="285">
        <f>E223+E208+E202+E183+E161+E157+E153+E149+E147+E142+E133+E127+E122</f>
        <v>3366000</v>
      </c>
      <c r="F239" s="285">
        <f t="shared" si="74"/>
        <v>17284000</v>
      </c>
      <c r="G239" s="285">
        <f>G223+G208+G202+G183+G161+G157+G153+G149+G147+G142+G133+G127+G122</f>
        <v>0</v>
      </c>
      <c r="H239" s="285">
        <f>H223+H208+H202+H183+H161+H157+H153+H149+H147+H142+H133+H127+H122</f>
        <v>17284000</v>
      </c>
      <c r="I239" s="289"/>
      <c r="J239" s="285">
        <f>J223+J208+J202+J183+J161+J157+J153+J149+J147+J142+J133+J127+J122</f>
        <v>4968000</v>
      </c>
      <c r="K239" s="285">
        <f>K223+K208+K202+K183+K161+K157+K153+K149+K147+K142+K133+K127+K122</f>
        <v>0</v>
      </c>
      <c r="L239" s="285">
        <f>L223+L208+L202+L183+L161+L157+L153+L149+L147+L142+L133+L127+L122</f>
        <v>4968000</v>
      </c>
      <c r="M239" s="285">
        <f t="shared" si="83"/>
        <v>22252000</v>
      </c>
      <c r="N239" s="289"/>
      <c r="O239" s="285">
        <f>O223+O208+O202+O183+O161+O157+O153+O149+O147+O142+O133+O127+O122</f>
        <v>15200000</v>
      </c>
      <c r="P239" s="285">
        <f>P223+P208+P202+P183+P161+P157+P153+P149+P147+P142+P133+P127+P122</f>
        <v>0</v>
      </c>
      <c r="Q239" s="285">
        <f t="shared" si="76"/>
        <v>15200000</v>
      </c>
      <c r="R239" s="354"/>
      <c r="S239" s="285">
        <f>S223+S208+S202+S183+S161+S157+S153+S149+S147+S142+S133+S127+S122</f>
        <v>4160000</v>
      </c>
      <c r="T239" s="285">
        <f>T223+T208+T202+T183+T161+T157+T153+T149+T147+T142+T133+T127+T122</f>
        <v>0</v>
      </c>
      <c r="U239" s="285">
        <f>SUM(S239:T239)</f>
        <v>4160000</v>
      </c>
      <c r="V239" s="285">
        <f>Q239+U239</f>
        <v>19360000</v>
      </c>
      <c r="W239" s="289"/>
      <c r="X239" s="285">
        <f>X223+X208+X202+X183+X161+X157+X153+X149+X147+X142+X133+X127+X122</f>
        <v>19855000</v>
      </c>
      <c r="Y239" s="285">
        <f>Y223+Y208+Y202+Y183+Y161+Y157+Y153+Y149+Y147+Y142+Y133+Y127+Y122</f>
        <v>12740000</v>
      </c>
      <c r="Z239" s="309">
        <f>SUM(X239:Y239)</f>
        <v>32595000</v>
      </c>
      <c r="AA239" s="320"/>
      <c r="AB239" s="285">
        <f>AB223+AB208+AB202+AB183+AB161+AB157+AB153+AB149+AB147+AB142+AB133+AB127+AB122</f>
        <v>16374000</v>
      </c>
      <c r="AC239" s="285">
        <f>AC223+AC208+AC202+AC183+AC161+AC157+AC153+AC149+AC147+AC142+AC133+AC127+AC122</f>
        <v>-12740000</v>
      </c>
      <c r="AD239" s="309">
        <f>SUM(AB239:AC239)</f>
        <v>3634000</v>
      </c>
      <c r="AE239" s="285">
        <f t="shared" si="84"/>
        <v>36229000</v>
      </c>
      <c r="AF239" s="289" t="e">
        <f>AF223+AF208+AF202+#REF!+AF161+AF157+AF153+AF149+AF147+AF142+AF133+AF127+AF122</f>
        <v>#REF!</v>
      </c>
      <c r="AG239" s="285">
        <f>M239+V239+AE239</f>
        <v>77841000</v>
      </c>
    </row>
    <row r="240" spans="1:33" s="5" customFormat="1" ht="8.25" customHeight="1">
      <c r="A240" s="239" t="s">
        <v>1273</v>
      </c>
      <c r="B240" s="278"/>
      <c r="C240" s="278"/>
      <c r="D240" s="279"/>
      <c r="E240" s="279"/>
      <c r="F240" s="279"/>
      <c r="G240" s="279"/>
      <c r="H240" s="279"/>
      <c r="I240" s="292"/>
      <c r="J240" s="279"/>
      <c r="K240" s="279"/>
      <c r="L240" s="279"/>
      <c r="M240" s="279"/>
      <c r="N240" s="292"/>
      <c r="O240" s="279"/>
      <c r="P240" s="279"/>
      <c r="Q240" s="279"/>
      <c r="R240" s="353"/>
      <c r="S240" s="279"/>
      <c r="T240" s="279"/>
      <c r="U240" s="279"/>
      <c r="V240" s="279"/>
      <c r="W240" s="292"/>
      <c r="X240" s="279"/>
      <c r="Y240" s="279"/>
      <c r="Z240" s="279"/>
      <c r="AA240" s="323"/>
      <c r="AB240" s="279"/>
      <c r="AC240" s="279"/>
      <c r="AD240" s="279"/>
      <c r="AE240" s="279">
        <f t="shared" si="84"/>
        <v>0</v>
      </c>
      <c r="AF240" s="292"/>
      <c r="AG240" s="279"/>
    </row>
    <row r="241" spans="1:33" s="10" customFormat="1" ht="15" customHeight="1">
      <c r="A241" s="239" t="s">
        <v>1329</v>
      </c>
      <c r="B241" s="247" t="s">
        <v>583</v>
      </c>
      <c r="C241" s="247" t="s">
        <v>315</v>
      </c>
      <c r="D241" s="253">
        <f>SUM(D242:D246)</f>
        <v>300000</v>
      </c>
      <c r="E241" s="253">
        <f>SUM(E242:E246)</f>
        <v>0</v>
      </c>
      <c r="F241" s="253">
        <f t="shared" si="74"/>
        <v>300000</v>
      </c>
      <c r="G241" s="253">
        <f>SUM(G242:G246)</f>
        <v>0</v>
      </c>
      <c r="H241" s="309">
        <f t="shared" si="82"/>
        <v>300000</v>
      </c>
      <c r="I241" s="289"/>
      <c r="J241" s="253">
        <f>SUM(J242:J246)</f>
        <v>702000</v>
      </c>
      <c r="K241" s="253">
        <f>SUM(K242:K246)</f>
        <v>0</v>
      </c>
      <c r="L241" s="309">
        <f t="shared" si="75"/>
        <v>702000</v>
      </c>
      <c r="M241" s="266">
        <f t="shared" si="83"/>
        <v>1002000</v>
      </c>
      <c r="N241" s="289"/>
      <c r="O241" s="253">
        <f>SUM(O242:O246)</f>
        <v>99999.8</v>
      </c>
      <c r="P241" s="253">
        <f>SUM(P242:P246)</f>
        <v>0</v>
      </c>
      <c r="Q241" s="309">
        <f t="shared" si="76"/>
        <v>99999.8</v>
      </c>
      <c r="R241" s="354"/>
      <c r="S241" s="253">
        <f>SUM(S242:S246)</f>
        <v>0</v>
      </c>
      <c r="T241" s="253">
        <f>SUM(T242:T246)</f>
        <v>0</v>
      </c>
      <c r="U241" s="309">
        <f t="shared" si="77"/>
        <v>0</v>
      </c>
      <c r="V241" s="266">
        <f>Q241+U241</f>
        <v>99999.8</v>
      </c>
      <c r="W241" s="289"/>
      <c r="X241" s="253">
        <f>SUM(X242:X246)</f>
        <v>0</v>
      </c>
      <c r="Y241" s="253">
        <f>SUM(Y242:Y246)</f>
        <v>0</v>
      </c>
      <c r="Z241" s="309">
        <f>SUM(X241:Y241)</f>
        <v>0</v>
      </c>
      <c r="AA241" s="320"/>
      <c r="AB241" s="253">
        <f>SUM(AB242:AB246)</f>
        <v>0</v>
      </c>
      <c r="AC241" s="253">
        <f>SUM(AC242:AC246)</f>
        <v>0</v>
      </c>
      <c r="AD241" s="309">
        <f>SUM(AB241:AC241)</f>
        <v>0</v>
      </c>
      <c r="AE241" s="266">
        <f t="shared" si="84"/>
        <v>0</v>
      </c>
      <c r="AF241" s="289"/>
      <c r="AG241" s="285">
        <f>M241+V241+AE241</f>
        <v>1101999.8</v>
      </c>
    </row>
    <row r="242" spans="1:33" s="238" customFormat="1" ht="15" customHeight="1">
      <c r="A242" s="239" t="s">
        <v>1274</v>
      </c>
      <c r="B242" s="286" t="s">
        <v>316</v>
      </c>
      <c r="C242" s="286" t="s">
        <v>317</v>
      </c>
      <c r="D242" s="287">
        <v>0</v>
      </c>
      <c r="E242" s="287">
        <v>0</v>
      </c>
      <c r="F242" s="287">
        <f t="shared" si="74"/>
        <v>0</v>
      </c>
      <c r="G242" s="287">
        <v>0</v>
      </c>
      <c r="H242" s="315">
        <f t="shared" si="82"/>
        <v>0</v>
      </c>
      <c r="I242" s="296"/>
      <c r="J242" s="287">
        <v>300000</v>
      </c>
      <c r="K242" s="287">
        <v>0</v>
      </c>
      <c r="L242" s="315">
        <f t="shared" si="75"/>
        <v>300000</v>
      </c>
      <c r="M242" s="303">
        <f t="shared" si="83"/>
        <v>300000</v>
      </c>
      <c r="N242" s="296"/>
      <c r="O242" s="287">
        <v>0</v>
      </c>
      <c r="P242" s="287">
        <v>0</v>
      </c>
      <c r="Q242" s="315">
        <f t="shared" si="76"/>
        <v>0</v>
      </c>
      <c r="R242" s="358"/>
      <c r="S242" s="287">
        <v>0</v>
      </c>
      <c r="T242" s="287">
        <v>0</v>
      </c>
      <c r="U242" s="315">
        <f t="shared" si="77"/>
        <v>0</v>
      </c>
      <c r="V242" s="303">
        <f>Q242+U242</f>
        <v>0</v>
      </c>
      <c r="W242" s="296"/>
      <c r="X242" s="287">
        <v>0</v>
      </c>
      <c r="Y242" s="287">
        <v>0</v>
      </c>
      <c r="Z242" s="315">
        <f>SUM(X242:Y242)</f>
        <v>0</v>
      </c>
      <c r="AA242" s="341"/>
      <c r="AB242" s="287">
        <v>0</v>
      </c>
      <c r="AC242" s="287">
        <v>0</v>
      </c>
      <c r="AD242" s="315">
        <f>SUM(AB242:AC242)</f>
        <v>0</v>
      </c>
      <c r="AE242" s="303">
        <f t="shared" si="84"/>
        <v>0</v>
      </c>
      <c r="AF242" s="296"/>
      <c r="AG242" s="338">
        <f>M242+V242+AE242</f>
        <v>300000</v>
      </c>
    </row>
    <row r="243" spans="1:33" s="236" customFormat="1" ht="15" customHeight="1">
      <c r="A243" s="239" t="s">
        <v>1330</v>
      </c>
      <c r="B243" s="252" t="s">
        <v>318</v>
      </c>
      <c r="C243" s="252" t="s">
        <v>319</v>
      </c>
      <c r="D243" s="287">
        <v>0</v>
      </c>
      <c r="E243" s="287">
        <v>0</v>
      </c>
      <c r="F243" s="287">
        <f t="shared" si="74"/>
        <v>0</v>
      </c>
      <c r="G243" s="287">
        <v>0</v>
      </c>
      <c r="H243" s="315">
        <f t="shared" si="82"/>
        <v>0</v>
      </c>
      <c r="I243" s="296"/>
      <c r="J243" s="287">
        <v>0</v>
      </c>
      <c r="K243" s="287">
        <v>0</v>
      </c>
      <c r="L243" s="315">
        <f t="shared" si="75"/>
        <v>0</v>
      </c>
      <c r="M243" s="303">
        <f t="shared" si="83"/>
        <v>0</v>
      </c>
      <c r="N243" s="296"/>
      <c r="O243" s="287">
        <v>0</v>
      </c>
      <c r="P243" s="287">
        <v>0</v>
      </c>
      <c r="Q243" s="315">
        <f t="shared" si="76"/>
        <v>0</v>
      </c>
      <c r="R243" s="358"/>
      <c r="S243" s="287">
        <v>0</v>
      </c>
      <c r="T243" s="287">
        <v>0</v>
      </c>
      <c r="U243" s="315">
        <f t="shared" si="77"/>
        <v>0</v>
      </c>
      <c r="V243" s="303">
        <f>Q243+U243</f>
        <v>0</v>
      </c>
      <c r="W243" s="296"/>
      <c r="X243" s="287">
        <v>0</v>
      </c>
      <c r="Y243" s="287">
        <v>0</v>
      </c>
      <c r="Z243" s="315">
        <f>SUM(X243:Y243)</f>
        <v>0</v>
      </c>
      <c r="AA243" s="341"/>
      <c r="AB243" s="287">
        <v>0</v>
      </c>
      <c r="AC243" s="287">
        <v>0</v>
      </c>
      <c r="AD243" s="315">
        <f>SUM(AB243:AC243)</f>
        <v>0</v>
      </c>
      <c r="AE243" s="303">
        <f t="shared" si="84"/>
        <v>0</v>
      </c>
      <c r="AF243" s="296"/>
      <c r="AG243" s="338">
        <f>M243+V243+AE243</f>
        <v>0</v>
      </c>
    </row>
    <row r="244" spans="1:33" s="236" customFormat="1" ht="15" customHeight="1">
      <c r="A244" s="239" t="s">
        <v>1275</v>
      </c>
      <c r="B244" s="250" t="s">
        <v>320</v>
      </c>
      <c r="C244" s="250" t="s">
        <v>30</v>
      </c>
      <c r="D244" s="287">
        <v>235600</v>
      </c>
      <c r="E244" s="287">
        <v>0</v>
      </c>
      <c r="F244" s="287">
        <f t="shared" si="74"/>
        <v>235600</v>
      </c>
      <c r="G244" s="287">
        <v>0</v>
      </c>
      <c r="H244" s="315">
        <f t="shared" si="82"/>
        <v>235600</v>
      </c>
      <c r="I244" s="296"/>
      <c r="J244" s="287">
        <v>253000</v>
      </c>
      <c r="K244" s="287">
        <v>0</v>
      </c>
      <c r="L244" s="315">
        <f t="shared" si="75"/>
        <v>253000</v>
      </c>
      <c r="M244" s="303">
        <f t="shared" si="83"/>
        <v>488600</v>
      </c>
      <c r="N244" s="296"/>
      <c r="O244" s="287">
        <v>78740</v>
      </c>
      <c r="P244" s="287">
        <v>0</v>
      </c>
      <c r="Q244" s="315">
        <f t="shared" si="76"/>
        <v>78740</v>
      </c>
      <c r="R244" s="358"/>
      <c r="S244" s="287">
        <v>0</v>
      </c>
      <c r="T244" s="287">
        <v>0</v>
      </c>
      <c r="U244" s="315">
        <f t="shared" si="77"/>
        <v>0</v>
      </c>
      <c r="V244" s="303">
        <f>Q244+U244</f>
        <v>78740</v>
      </c>
      <c r="W244" s="296"/>
      <c r="X244" s="287">
        <v>0</v>
      </c>
      <c r="Y244" s="287">
        <v>0</v>
      </c>
      <c r="Z244" s="315">
        <f>SUM(X244:Y244)</f>
        <v>0</v>
      </c>
      <c r="AA244" s="341"/>
      <c r="AB244" s="287">
        <v>0</v>
      </c>
      <c r="AC244" s="287">
        <v>0</v>
      </c>
      <c r="AD244" s="315">
        <f>SUM(AB244:AC244)</f>
        <v>0</v>
      </c>
      <c r="AE244" s="303">
        <f t="shared" si="84"/>
        <v>0</v>
      </c>
      <c r="AF244" s="296"/>
      <c r="AG244" s="338">
        <f>M244+V244+AE244</f>
        <v>567340</v>
      </c>
    </row>
    <row r="245" spans="1:33" s="236" customFormat="1" ht="15" customHeight="1">
      <c r="A245" s="239" t="s">
        <v>1276</v>
      </c>
      <c r="B245" s="252" t="s">
        <v>31</v>
      </c>
      <c r="C245" s="252" t="s">
        <v>321</v>
      </c>
      <c r="D245" s="287">
        <v>64400</v>
      </c>
      <c r="E245" s="287">
        <v>0</v>
      </c>
      <c r="F245" s="287">
        <f t="shared" si="74"/>
        <v>64400</v>
      </c>
      <c r="G245" s="287">
        <v>0</v>
      </c>
      <c r="H245" s="315">
        <f t="shared" si="82"/>
        <v>64400</v>
      </c>
      <c r="I245" s="296"/>
      <c r="J245" s="287">
        <f>(J244+J243+J242)*0.27-310</f>
        <v>149000</v>
      </c>
      <c r="K245" s="287">
        <v>0</v>
      </c>
      <c r="L245" s="315">
        <f t="shared" si="75"/>
        <v>149000</v>
      </c>
      <c r="M245" s="303">
        <f t="shared" si="83"/>
        <v>213400</v>
      </c>
      <c r="N245" s="296"/>
      <c r="O245" s="287">
        <f>(O244+O243+O242)*0.27</f>
        <v>21259.800000000003</v>
      </c>
      <c r="P245" s="287">
        <f>(P244+P243+P242)*0.27</f>
        <v>0</v>
      </c>
      <c r="Q245" s="315">
        <f t="shared" si="76"/>
        <v>21259.800000000003</v>
      </c>
      <c r="R245" s="358"/>
      <c r="S245" s="287">
        <v>0</v>
      </c>
      <c r="T245" s="287">
        <v>0</v>
      </c>
      <c r="U245" s="315">
        <f t="shared" si="77"/>
        <v>0</v>
      </c>
      <c r="V245" s="303">
        <f>Q245+U245</f>
        <v>21259.800000000003</v>
      </c>
      <c r="W245" s="296"/>
      <c r="X245" s="287">
        <v>0</v>
      </c>
      <c r="Y245" s="287">
        <v>0</v>
      </c>
      <c r="Z245" s="315">
        <f>SUM(X245:Y245)</f>
        <v>0</v>
      </c>
      <c r="AA245" s="341"/>
      <c r="AB245" s="287">
        <v>0</v>
      </c>
      <c r="AC245" s="287">
        <v>0</v>
      </c>
      <c r="AD245" s="315">
        <f>SUM(AB245:AC245)</f>
        <v>0</v>
      </c>
      <c r="AE245" s="303">
        <f t="shared" si="84"/>
        <v>0</v>
      </c>
      <c r="AF245" s="296"/>
      <c r="AG245" s="338">
        <f>M245+V245+AE245</f>
        <v>234659.8</v>
      </c>
    </row>
    <row r="246" spans="1:33" s="318" customFormat="1" ht="7.5" customHeight="1">
      <c r="A246" s="239" t="s">
        <v>1277</v>
      </c>
      <c r="B246" s="317"/>
      <c r="C246" s="317"/>
      <c r="D246" s="258"/>
      <c r="E246" s="258"/>
      <c r="F246" s="258"/>
      <c r="G246" s="258"/>
      <c r="H246" s="258"/>
      <c r="I246" s="291"/>
      <c r="J246" s="258"/>
      <c r="K246" s="258"/>
      <c r="L246" s="258"/>
      <c r="M246" s="258"/>
      <c r="N246" s="291"/>
      <c r="O246" s="258"/>
      <c r="P246" s="258"/>
      <c r="Q246" s="258"/>
      <c r="R246" s="351"/>
      <c r="S246" s="258"/>
      <c r="T246" s="258"/>
      <c r="U246" s="258"/>
      <c r="V246" s="258"/>
      <c r="W246" s="291"/>
      <c r="X246" s="258"/>
      <c r="Y246" s="258"/>
      <c r="Z246" s="258"/>
      <c r="AA246" s="322"/>
      <c r="AB246" s="258"/>
      <c r="AC246" s="258"/>
      <c r="AD246" s="258"/>
      <c r="AE246" s="258">
        <f t="shared" si="84"/>
        <v>0</v>
      </c>
      <c r="AF246" s="291"/>
      <c r="AG246" s="258"/>
    </row>
    <row r="247" spans="1:33" s="10" customFormat="1" ht="15" customHeight="1">
      <c r="A247" s="239" t="s">
        <v>1278</v>
      </c>
      <c r="B247" s="247" t="s">
        <v>592</v>
      </c>
      <c r="C247" s="247" t="s">
        <v>322</v>
      </c>
      <c r="D247" s="253">
        <f>SUM(D248:D249)</f>
        <v>0</v>
      </c>
      <c r="E247" s="253">
        <f>SUM(E248:E249)</f>
        <v>0</v>
      </c>
      <c r="F247" s="253">
        <f t="shared" si="74"/>
        <v>0</v>
      </c>
      <c r="G247" s="253">
        <f>SUM(G248:G249)</f>
        <v>0</v>
      </c>
      <c r="H247" s="309">
        <f t="shared" si="82"/>
        <v>0</v>
      </c>
      <c r="I247" s="289"/>
      <c r="J247" s="253">
        <f>SUM(J248:J249)</f>
        <v>0</v>
      </c>
      <c r="K247" s="253">
        <f>SUM(K248:K249)</f>
        <v>0</v>
      </c>
      <c r="L247" s="309">
        <f t="shared" si="75"/>
        <v>0</v>
      </c>
      <c r="M247" s="266">
        <f t="shared" si="83"/>
        <v>0</v>
      </c>
      <c r="N247" s="289"/>
      <c r="O247" s="253">
        <f>SUM(O248:O249)</f>
        <v>889000</v>
      </c>
      <c r="P247" s="253">
        <f>SUM(P248:P249)</f>
        <v>0</v>
      </c>
      <c r="Q247" s="309">
        <f t="shared" si="76"/>
        <v>889000</v>
      </c>
      <c r="R247" s="354"/>
      <c r="S247" s="253">
        <f>SUM(S248:S249)</f>
        <v>0</v>
      </c>
      <c r="T247" s="253">
        <f>SUM(T248:T249)</f>
        <v>0</v>
      </c>
      <c r="U247" s="309">
        <f t="shared" si="77"/>
        <v>0</v>
      </c>
      <c r="V247" s="266">
        <f>Q247+U247</f>
        <v>889000</v>
      </c>
      <c r="W247" s="289"/>
      <c r="X247" s="253">
        <f>SUM(X248:X249)</f>
        <v>0</v>
      </c>
      <c r="Y247" s="253">
        <f>SUM(Y248:Y249)</f>
        <v>0</v>
      </c>
      <c r="Z247" s="309">
        <f>SUM(X247:Y247)</f>
        <v>0</v>
      </c>
      <c r="AA247" s="320"/>
      <c r="AB247" s="253">
        <f>SUM(AB248:AB249)</f>
        <v>0</v>
      </c>
      <c r="AC247" s="253">
        <f>SUM(AC248:AC249)</f>
        <v>0</v>
      </c>
      <c r="AD247" s="309">
        <f>SUM(AB247:AC247)</f>
        <v>0</v>
      </c>
      <c r="AE247" s="266">
        <f t="shared" si="84"/>
        <v>0</v>
      </c>
      <c r="AF247" s="289"/>
      <c r="AG247" s="285">
        <f>M247+V247+AE247</f>
        <v>889000</v>
      </c>
    </row>
    <row r="248" spans="1:33" s="236" customFormat="1" ht="15" customHeight="1">
      <c r="A248" s="239" t="s">
        <v>1279</v>
      </c>
      <c r="B248" s="250" t="s">
        <v>32</v>
      </c>
      <c r="C248" s="250" t="s">
        <v>370</v>
      </c>
      <c r="D248" s="273">
        <v>0</v>
      </c>
      <c r="E248" s="273">
        <v>0</v>
      </c>
      <c r="F248" s="273">
        <f t="shared" si="74"/>
        <v>0</v>
      </c>
      <c r="G248" s="273">
        <v>0</v>
      </c>
      <c r="H248" s="310">
        <f t="shared" si="82"/>
        <v>0</v>
      </c>
      <c r="I248" s="290"/>
      <c r="J248" s="273">
        <v>0</v>
      </c>
      <c r="K248" s="273">
        <v>0</v>
      </c>
      <c r="L248" s="310">
        <f t="shared" si="75"/>
        <v>0</v>
      </c>
      <c r="M248" s="297">
        <f t="shared" si="83"/>
        <v>0</v>
      </c>
      <c r="N248" s="290"/>
      <c r="O248" s="273">
        <v>700000</v>
      </c>
      <c r="P248" s="273">
        <v>0</v>
      </c>
      <c r="Q248" s="310">
        <f t="shared" si="76"/>
        <v>700000</v>
      </c>
      <c r="R248" s="355"/>
      <c r="S248" s="273">
        <v>0</v>
      </c>
      <c r="T248" s="273">
        <v>0</v>
      </c>
      <c r="U248" s="310">
        <f t="shared" si="77"/>
        <v>0</v>
      </c>
      <c r="V248" s="297">
        <f>Q248+U248</f>
        <v>700000</v>
      </c>
      <c r="W248" s="290"/>
      <c r="X248" s="273">
        <v>0</v>
      </c>
      <c r="Y248" s="273">
        <v>0</v>
      </c>
      <c r="Z248" s="310">
        <f>SUM(X248:Y248)</f>
        <v>0</v>
      </c>
      <c r="AA248" s="321"/>
      <c r="AB248" s="273">
        <v>0</v>
      </c>
      <c r="AC248" s="273">
        <v>0</v>
      </c>
      <c r="AD248" s="310">
        <f>SUM(AB248:AC248)</f>
        <v>0</v>
      </c>
      <c r="AE248" s="297">
        <f t="shared" si="84"/>
        <v>0</v>
      </c>
      <c r="AF248" s="290"/>
      <c r="AG248" s="334">
        <f>M248+V248+AE248</f>
        <v>700000</v>
      </c>
    </row>
    <row r="249" spans="1:33" s="236" customFormat="1" ht="15" customHeight="1">
      <c r="A249" s="239" t="s">
        <v>1331</v>
      </c>
      <c r="B249" s="252" t="s">
        <v>323</v>
      </c>
      <c r="C249" s="252" t="s">
        <v>324</v>
      </c>
      <c r="D249" s="251">
        <v>0</v>
      </c>
      <c r="E249" s="251">
        <v>0</v>
      </c>
      <c r="F249" s="251">
        <f t="shared" si="74"/>
        <v>0</v>
      </c>
      <c r="G249" s="251">
        <v>0</v>
      </c>
      <c r="H249" s="310">
        <f t="shared" si="82"/>
        <v>0</v>
      </c>
      <c r="I249" s="290"/>
      <c r="J249" s="251">
        <v>0</v>
      </c>
      <c r="K249" s="251">
        <v>0</v>
      </c>
      <c r="L249" s="310">
        <f t="shared" si="75"/>
        <v>0</v>
      </c>
      <c r="M249" s="297">
        <f t="shared" si="83"/>
        <v>0</v>
      </c>
      <c r="N249" s="290"/>
      <c r="O249" s="251">
        <f>O248*0.27</f>
        <v>189000</v>
      </c>
      <c r="P249" s="251">
        <v>0</v>
      </c>
      <c r="Q249" s="310">
        <f t="shared" si="76"/>
        <v>189000</v>
      </c>
      <c r="R249" s="355"/>
      <c r="S249" s="251">
        <v>0</v>
      </c>
      <c r="T249" s="251">
        <v>0</v>
      </c>
      <c r="U249" s="310">
        <f t="shared" si="77"/>
        <v>0</v>
      </c>
      <c r="V249" s="297">
        <f>Q249+U249</f>
        <v>189000</v>
      </c>
      <c r="W249" s="290"/>
      <c r="X249" s="251">
        <v>0</v>
      </c>
      <c r="Y249" s="251">
        <v>0</v>
      </c>
      <c r="Z249" s="310">
        <f>SUM(X249:Y249)</f>
        <v>0</v>
      </c>
      <c r="AA249" s="321"/>
      <c r="AB249" s="251">
        <v>0</v>
      </c>
      <c r="AC249" s="251">
        <v>0</v>
      </c>
      <c r="AD249" s="310">
        <f>SUM(AB249:AC249)</f>
        <v>0</v>
      </c>
      <c r="AE249" s="297">
        <f t="shared" si="84"/>
        <v>0</v>
      </c>
      <c r="AF249" s="290"/>
      <c r="AG249" s="334">
        <f>M249+V249+AE249</f>
        <v>189000</v>
      </c>
    </row>
    <row r="250" spans="1:33" s="10" customFormat="1" ht="15" customHeight="1">
      <c r="A250" s="239" t="s">
        <v>1280</v>
      </c>
      <c r="B250" s="282" t="s">
        <v>937</v>
      </c>
      <c r="C250" s="282" t="s">
        <v>35</v>
      </c>
      <c r="D250" s="285">
        <f>D247+D241</f>
        <v>300000</v>
      </c>
      <c r="E250" s="285">
        <f>E247+E241</f>
        <v>0</v>
      </c>
      <c r="F250" s="285">
        <f t="shared" si="74"/>
        <v>300000</v>
      </c>
      <c r="G250" s="285">
        <f>G247+G241</f>
        <v>0</v>
      </c>
      <c r="H250" s="285">
        <f>H247+H241</f>
        <v>300000</v>
      </c>
      <c r="I250" s="289"/>
      <c r="J250" s="285">
        <f>J247+J241</f>
        <v>702000</v>
      </c>
      <c r="K250" s="285">
        <f>K247+K241</f>
        <v>0</v>
      </c>
      <c r="L250" s="285">
        <f>L247+L241</f>
        <v>702000</v>
      </c>
      <c r="M250" s="285">
        <f t="shared" si="83"/>
        <v>1002000</v>
      </c>
      <c r="N250" s="289"/>
      <c r="O250" s="285">
        <f>O247+O241</f>
        <v>988999.8</v>
      </c>
      <c r="P250" s="285">
        <f>P247+P241</f>
        <v>0</v>
      </c>
      <c r="Q250" s="285">
        <f t="shared" si="76"/>
        <v>988999.8</v>
      </c>
      <c r="R250" s="354"/>
      <c r="S250" s="285">
        <f>S247+S241</f>
        <v>0</v>
      </c>
      <c r="T250" s="285">
        <f>T247+T241</f>
        <v>0</v>
      </c>
      <c r="U250" s="285">
        <f t="shared" si="77"/>
        <v>0</v>
      </c>
      <c r="V250" s="285">
        <f>Q250+U250</f>
        <v>988999.8</v>
      </c>
      <c r="W250" s="289"/>
      <c r="X250" s="285">
        <f>X247+X241</f>
        <v>0</v>
      </c>
      <c r="Y250" s="285">
        <f>Y247+Y241</f>
        <v>0</v>
      </c>
      <c r="Z250" s="309">
        <f>SUM(X250:Y250)</f>
        <v>0</v>
      </c>
      <c r="AA250" s="320"/>
      <c r="AB250" s="285">
        <f>AB247+AB241</f>
        <v>0</v>
      </c>
      <c r="AC250" s="285">
        <f>AC247+AC241</f>
        <v>0</v>
      </c>
      <c r="AD250" s="309">
        <f>SUM(AB250:AC250)</f>
        <v>0</v>
      </c>
      <c r="AE250" s="285">
        <f t="shared" si="84"/>
        <v>0</v>
      </c>
      <c r="AF250" s="289">
        <f>AF247+AF241</f>
        <v>0</v>
      </c>
      <c r="AG250" s="285">
        <f>M250+V250+AE250</f>
        <v>1990999.8</v>
      </c>
    </row>
    <row r="251" spans="1:33" s="5" customFormat="1" ht="7.5" customHeight="1">
      <c r="A251" s="239" t="s">
        <v>1281</v>
      </c>
      <c r="B251" s="278"/>
      <c r="C251" s="278"/>
      <c r="D251" s="279"/>
      <c r="E251" s="279"/>
      <c r="F251" s="279"/>
      <c r="G251" s="279"/>
      <c r="H251" s="279"/>
      <c r="I251" s="292"/>
      <c r="J251" s="279"/>
      <c r="K251" s="279"/>
      <c r="L251" s="279"/>
      <c r="M251" s="279"/>
      <c r="N251" s="292"/>
      <c r="O251" s="279"/>
      <c r="P251" s="279"/>
      <c r="Q251" s="279"/>
      <c r="R251" s="353"/>
      <c r="S251" s="279"/>
      <c r="T251" s="279"/>
      <c r="U251" s="279"/>
      <c r="V251" s="279"/>
      <c r="W251" s="292"/>
      <c r="X251" s="279"/>
      <c r="Y251" s="279"/>
      <c r="Z251" s="279"/>
      <c r="AA251" s="323"/>
      <c r="AB251" s="279"/>
      <c r="AC251" s="279"/>
      <c r="AD251" s="279"/>
      <c r="AE251" s="279">
        <f t="shared" si="84"/>
        <v>0</v>
      </c>
      <c r="AF251" s="292"/>
      <c r="AG251" s="279"/>
    </row>
    <row r="252" spans="1:33" s="10" customFormat="1" ht="15" customHeight="1">
      <c r="A252" s="239" t="s">
        <v>1282</v>
      </c>
      <c r="B252" s="282" t="s">
        <v>938</v>
      </c>
      <c r="C252" s="282" t="s">
        <v>325</v>
      </c>
      <c r="D252" s="285">
        <f>SUM(D253:D260)</f>
        <v>0</v>
      </c>
      <c r="E252" s="285">
        <f>SUM(E253:E260)</f>
        <v>0</v>
      </c>
      <c r="F252" s="285">
        <f aca="true" t="shared" si="85" ref="F252:F260">SUM(D252:E252)</f>
        <v>0</v>
      </c>
      <c r="G252" s="285">
        <f>SUM(G253:G260)</f>
        <v>0</v>
      </c>
      <c r="H252" s="285">
        <f>SUM(H253:H260)</f>
        <v>0</v>
      </c>
      <c r="I252" s="289"/>
      <c r="J252" s="285">
        <f>SUM(J253:J260)</f>
        <v>0</v>
      </c>
      <c r="K252" s="285">
        <f>SUM(K253:K260)</f>
        <v>0</v>
      </c>
      <c r="L252" s="285">
        <f>SUM(L253:L260)</f>
        <v>0</v>
      </c>
      <c r="M252" s="285">
        <f t="shared" si="83"/>
        <v>0</v>
      </c>
      <c r="N252" s="289"/>
      <c r="O252" s="285">
        <f>SUM(O253:O260)</f>
        <v>0</v>
      </c>
      <c r="P252" s="285">
        <f>SUM(P253:P260)</f>
        <v>0</v>
      </c>
      <c r="Q252" s="285">
        <f aca="true" t="shared" si="86" ref="Q252:Q260">SUM(O252:P252)</f>
        <v>0</v>
      </c>
      <c r="R252" s="354"/>
      <c r="S252" s="285">
        <f>SUM(S253:S260)</f>
        <v>0</v>
      </c>
      <c r="T252" s="285">
        <f>SUM(T253:T260)</f>
        <v>0</v>
      </c>
      <c r="U252" s="285">
        <f aca="true" t="shared" si="87" ref="U252:U260">SUM(S252:T252)</f>
        <v>0</v>
      </c>
      <c r="V252" s="285">
        <f aca="true" t="shared" si="88" ref="V252:V260">Q252+U252</f>
        <v>0</v>
      </c>
      <c r="W252" s="289"/>
      <c r="X252" s="285">
        <f>SUM(X253:X260)</f>
        <v>0</v>
      </c>
      <c r="Y252" s="285">
        <f>SUM(Y253:Y260)</f>
        <v>0</v>
      </c>
      <c r="Z252" s="309">
        <f aca="true" t="shared" si="89" ref="Z252:Z260">SUM(X252:Y252)</f>
        <v>0</v>
      </c>
      <c r="AA252" s="320"/>
      <c r="AB252" s="285">
        <f>SUM(AB253:AB260)</f>
        <v>0</v>
      </c>
      <c r="AC252" s="285">
        <f>SUM(AC253:AC260)</f>
        <v>0</v>
      </c>
      <c r="AD252" s="309">
        <f aca="true" t="shared" si="90" ref="AD252:AD260">SUM(AB252:AC252)</f>
        <v>0</v>
      </c>
      <c r="AE252" s="285">
        <f t="shared" si="84"/>
        <v>0</v>
      </c>
      <c r="AF252" s="289">
        <f>SUM(AF253:AF260)</f>
        <v>0</v>
      </c>
      <c r="AG252" s="285">
        <f aca="true" t="shared" si="91" ref="AG252:AG260">M252+V252+AE252</f>
        <v>0</v>
      </c>
    </row>
    <row r="253" spans="1:33" s="236" customFormat="1" ht="15" customHeight="1" hidden="1">
      <c r="A253" s="239" t="s">
        <v>1283</v>
      </c>
      <c r="B253" s="250" t="s">
        <v>326</v>
      </c>
      <c r="C253" s="250" t="s">
        <v>327</v>
      </c>
      <c r="D253" s="273">
        <v>0</v>
      </c>
      <c r="E253" s="273">
        <v>0</v>
      </c>
      <c r="F253" s="273">
        <f t="shared" si="85"/>
        <v>0</v>
      </c>
      <c r="G253" s="273">
        <v>0</v>
      </c>
      <c r="H253" s="310">
        <f t="shared" si="82"/>
        <v>0</v>
      </c>
      <c r="I253" s="290"/>
      <c r="J253" s="273">
        <v>0</v>
      </c>
      <c r="K253" s="273">
        <v>0</v>
      </c>
      <c r="L253" s="310">
        <f aca="true" t="shared" si="92" ref="L253:L260">SUM(J253:K253)</f>
        <v>0</v>
      </c>
      <c r="M253" s="297">
        <f t="shared" si="83"/>
        <v>0</v>
      </c>
      <c r="N253" s="290"/>
      <c r="O253" s="273">
        <v>0</v>
      </c>
      <c r="P253" s="273">
        <v>0</v>
      </c>
      <c r="Q253" s="310">
        <f t="shared" si="86"/>
        <v>0</v>
      </c>
      <c r="R253" s="355"/>
      <c r="S253" s="273">
        <v>0</v>
      </c>
      <c r="T253" s="273">
        <v>0</v>
      </c>
      <c r="U253" s="310">
        <f t="shared" si="87"/>
        <v>0</v>
      </c>
      <c r="V253" s="297">
        <f t="shared" si="88"/>
        <v>0</v>
      </c>
      <c r="W253" s="290"/>
      <c r="X253" s="273">
        <v>0</v>
      </c>
      <c r="Y253" s="273">
        <v>0</v>
      </c>
      <c r="Z253" s="310">
        <f t="shared" si="89"/>
        <v>0</v>
      </c>
      <c r="AA253" s="321"/>
      <c r="AB253" s="273">
        <v>0</v>
      </c>
      <c r="AC253" s="273">
        <v>0</v>
      </c>
      <c r="AD253" s="310">
        <f t="shared" si="90"/>
        <v>0</v>
      </c>
      <c r="AE253" s="297">
        <f t="shared" si="84"/>
        <v>0</v>
      </c>
      <c r="AF253" s="290"/>
      <c r="AG253" s="334">
        <f t="shared" si="91"/>
        <v>0</v>
      </c>
    </row>
    <row r="254" spans="1:33" s="236" customFormat="1" ht="15" customHeight="1" hidden="1">
      <c r="A254" s="239" t="s">
        <v>1332</v>
      </c>
      <c r="B254" s="252" t="s">
        <v>328</v>
      </c>
      <c r="C254" s="252" t="s">
        <v>329</v>
      </c>
      <c r="D254" s="251">
        <v>0</v>
      </c>
      <c r="E254" s="251">
        <v>0</v>
      </c>
      <c r="F254" s="251">
        <f t="shared" si="85"/>
        <v>0</v>
      </c>
      <c r="G254" s="251">
        <v>0</v>
      </c>
      <c r="H254" s="310">
        <f t="shared" si="82"/>
        <v>0</v>
      </c>
      <c r="I254" s="290"/>
      <c r="J254" s="251">
        <v>0</v>
      </c>
      <c r="K254" s="251">
        <v>0</v>
      </c>
      <c r="L254" s="310">
        <f t="shared" si="92"/>
        <v>0</v>
      </c>
      <c r="M254" s="297">
        <f t="shared" si="83"/>
        <v>0</v>
      </c>
      <c r="N254" s="290"/>
      <c r="O254" s="251">
        <v>0</v>
      </c>
      <c r="P254" s="251">
        <v>0</v>
      </c>
      <c r="Q254" s="310">
        <f t="shared" si="86"/>
        <v>0</v>
      </c>
      <c r="R254" s="355"/>
      <c r="S254" s="251">
        <v>0</v>
      </c>
      <c r="T254" s="251">
        <v>0</v>
      </c>
      <c r="U254" s="310">
        <f t="shared" si="87"/>
        <v>0</v>
      </c>
      <c r="V254" s="297">
        <f t="shared" si="88"/>
        <v>0</v>
      </c>
      <c r="W254" s="290"/>
      <c r="X254" s="251">
        <v>0</v>
      </c>
      <c r="Y254" s="251">
        <v>0</v>
      </c>
      <c r="Z254" s="310">
        <f t="shared" si="89"/>
        <v>0</v>
      </c>
      <c r="AA254" s="321"/>
      <c r="AB254" s="251">
        <v>0</v>
      </c>
      <c r="AC254" s="251">
        <v>0</v>
      </c>
      <c r="AD254" s="310">
        <f t="shared" si="90"/>
        <v>0</v>
      </c>
      <c r="AE254" s="297">
        <f t="shared" si="84"/>
        <v>0</v>
      </c>
      <c r="AF254" s="290"/>
      <c r="AG254" s="334">
        <f t="shared" si="91"/>
        <v>0</v>
      </c>
    </row>
    <row r="255" spans="1:33" s="236" customFormat="1" ht="15" customHeight="1" hidden="1">
      <c r="A255" s="239" t="s">
        <v>1284</v>
      </c>
      <c r="B255" s="250" t="s">
        <v>330</v>
      </c>
      <c r="C255" s="250" t="s">
        <v>331</v>
      </c>
      <c r="D255" s="273">
        <v>0</v>
      </c>
      <c r="E255" s="273">
        <v>0</v>
      </c>
      <c r="F255" s="273">
        <f t="shared" si="85"/>
        <v>0</v>
      </c>
      <c r="G255" s="273">
        <v>0</v>
      </c>
      <c r="H255" s="310">
        <f t="shared" si="82"/>
        <v>0</v>
      </c>
      <c r="I255" s="290"/>
      <c r="J255" s="273">
        <v>0</v>
      </c>
      <c r="K255" s="273">
        <v>0</v>
      </c>
      <c r="L255" s="310">
        <f t="shared" si="92"/>
        <v>0</v>
      </c>
      <c r="M255" s="297">
        <f t="shared" si="83"/>
        <v>0</v>
      </c>
      <c r="N255" s="290"/>
      <c r="O255" s="273">
        <v>0</v>
      </c>
      <c r="P255" s="273">
        <v>0</v>
      </c>
      <c r="Q255" s="310">
        <f t="shared" si="86"/>
        <v>0</v>
      </c>
      <c r="R255" s="355"/>
      <c r="S255" s="273">
        <v>0</v>
      </c>
      <c r="T255" s="273">
        <v>0</v>
      </c>
      <c r="U255" s="310">
        <f t="shared" si="87"/>
        <v>0</v>
      </c>
      <c r="V255" s="297">
        <f t="shared" si="88"/>
        <v>0</v>
      </c>
      <c r="W255" s="290"/>
      <c r="X255" s="273">
        <v>0</v>
      </c>
      <c r="Y255" s="273">
        <v>0</v>
      </c>
      <c r="Z255" s="310">
        <f t="shared" si="89"/>
        <v>0</v>
      </c>
      <c r="AA255" s="321"/>
      <c r="AB255" s="273">
        <v>0</v>
      </c>
      <c r="AC255" s="273">
        <v>0</v>
      </c>
      <c r="AD255" s="310">
        <f t="shared" si="90"/>
        <v>0</v>
      </c>
      <c r="AE255" s="297">
        <f t="shared" si="84"/>
        <v>0</v>
      </c>
      <c r="AF255" s="290"/>
      <c r="AG255" s="334">
        <f t="shared" si="91"/>
        <v>0</v>
      </c>
    </row>
    <row r="256" spans="1:33" s="236" customFormat="1" ht="15" customHeight="1" hidden="1">
      <c r="A256" s="239" t="s">
        <v>1285</v>
      </c>
      <c r="B256" s="252" t="s">
        <v>332</v>
      </c>
      <c r="C256" s="252" t="s">
        <v>333</v>
      </c>
      <c r="D256" s="251">
        <v>0</v>
      </c>
      <c r="E256" s="251">
        <v>0</v>
      </c>
      <c r="F256" s="251">
        <f t="shared" si="85"/>
        <v>0</v>
      </c>
      <c r="G256" s="251">
        <v>0</v>
      </c>
      <c r="H256" s="310">
        <f t="shared" si="82"/>
        <v>0</v>
      </c>
      <c r="I256" s="290"/>
      <c r="J256" s="251">
        <v>0</v>
      </c>
      <c r="K256" s="251">
        <v>0</v>
      </c>
      <c r="L256" s="310">
        <f t="shared" si="92"/>
        <v>0</v>
      </c>
      <c r="M256" s="297">
        <f t="shared" si="83"/>
        <v>0</v>
      </c>
      <c r="N256" s="290"/>
      <c r="O256" s="251">
        <v>0</v>
      </c>
      <c r="P256" s="251">
        <v>0</v>
      </c>
      <c r="Q256" s="310">
        <f t="shared" si="86"/>
        <v>0</v>
      </c>
      <c r="R256" s="355"/>
      <c r="S256" s="251">
        <v>0</v>
      </c>
      <c r="T256" s="251">
        <v>0</v>
      </c>
      <c r="U256" s="310">
        <f t="shared" si="87"/>
        <v>0</v>
      </c>
      <c r="V256" s="297">
        <f t="shared" si="88"/>
        <v>0</v>
      </c>
      <c r="W256" s="290"/>
      <c r="X256" s="251">
        <v>0</v>
      </c>
      <c r="Y256" s="251">
        <v>0</v>
      </c>
      <c r="Z256" s="310">
        <f t="shared" si="89"/>
        <v>0</v>
      </c>
      <c r="AA256" s="321"/>
      <c r="AB256" s="251">
        <v>0</v>
      </c>
      <c r="AC256" s="251">
        <v>0</v>
      </c>
      <c r="AD256" s="310">
        <f t="shared" si="90"/>
        <v>0</v>
      </c>
      <c r="AE256" s="297">
        <f t="shared" si="84"/>
        <v>0</v>
      </c>
      <c r="AF256" s="290"/>
      <c r="AG256" s="334">
        <f t="shared" si="91"/>
        <v>0</v>
      </c>
    </row>
    <row r="257" spans="1:33" s="236" customFormat="1" ht="15" customHeight="1" hidden="1">
      <c r="A257" s="239" t="s">
        <v>1286</v>
      </c>
      <c r="B257" s="250" t="s">
        <v>334</v>
      </c>
      <c r="C257" s="250" t="s">
        <v>335</v>
      </c>
      <c r="D257" s="273">
        <v>0</v>
      </c>
      <c r="E257" s="273">
        <v>0</v>
      </c>
      <c r="F257" s="273">
        <f t="shared" si="85"/>
        <v>0</v>
      </c>
      <c r="G257" s="273">
        <v>0</v>
      </c>
      <c r="H257" s="310">
        <f t="shared" si="82"/>
        <v>0</v>
      </c>
      <c r="I257" s="290"/>
      <c r="J257" s="273">
        <v>0</v>
      </c>
      <c r="K257" s="273">
        <v>0</v>
      </c>
      <c r="L257" s="310">
        <f t="shared" si="92"/>
        <v>0</v>
      </c>
      <c r="M257" s="297">
        <f t="shared" si="83"/>
        <v>0</v>
      </c>
      <c r="N257" s="290"/>
      <c r="O257" s="273">
        <v>0</v>
      </c>
      <c r="P257" s="273">
        <v>0</v>
      </c>
      <c r="Q257" s="310">
        <f t="shared" si="86"/>
        <v>0</v>
      </c>
      <c r="R257" s="355"/>
      <c r="S257" s="273">
        <v>0</v>
      </c>
      <c r="T257" s="273">
        <v>0</v>
      </c>
      <c r="U257" s="310">
        <f t="shared" si="87"/>
        <v>0</v>
      </c>
      <c r="V257" s="297">
        <f t="shared" si="88"/>
        <v>0</v>
      </c>
      <c r="W257" s="290"/>
      <c r="X257" s="273">
        <v>0</v>
      </c>
      <c r="Y257" s="273">
        <v>0</v>
      </c>
      <c r="Z257" s="310">
        <f t="shared" si="89"/>
        <v>0</v>
      </c>
      <c r="AA257" s="321"/>
      <c r="AB257" s="273">
        <v>0</v>
      </c>
      <c r="AC257" s="273">
        <v>0</v>
      </c>
      <c r="AD257" s="310">
        <f t="shared" si="90"/>
        <v>0</v>
      </c>
      <c r="AE257" s="297">
        <f t="shared" si="84"/>
        <v>0</v>
      </c>
      <c r="AF257" s="290"/>
      <c r="AG257" s="334">
        <f t="shared" si="91"/>
        <v>0</v>
      </c>
    </row>
    <row r="258" spans="1:33" s="236" customFormat="1" ht="15" customHeight="1" hidden="1">
      <c r="A258" s="239" t="s">
        <v>1287</v>
      </c>
      <c r="B258" s="252" t="s">
        <v>336</v>
      </c>
      <c r="C258" s="252" t="s">
        <v>63</v>
      </c>
      <c r="D258" s="251">
        <v>0</v>
      </c>
      <c r="E258" s="251">
        <v>0</v>
      </c>
      <c r="F258" s="251">
        <f t="shared" si="85"/>
        <v>0</v>
      </c>
      <c r="G258" s="251">
        <v>0</v>
      </c>
      <c r="H258" s="310">
        <f t="shared" si="82"/>
        <v>0</v>
      </c>
      <c r="I258" s="290"/>
      <c r="J258" s="251">
        <v>0</v>
      </c>
      <c r="K258" s="251">
        <v>0</v>
      </c>
      <c r="L258" s="310">
        <f t="shared" si="92"/>
        <v>0</v>
      </c>
      <c r="M258" s="297">
        <f t="shared" si="83"/>
        <v>0</v>
      </c>
      <c r="N258" s="290"/>
      <c r="O258" s="251">
        <v>0</v>
      </c>
      <c r="P258" s="251">
        <v>0</v>
      </c>
      <c r="Q258" s="310">
        <f t="shared" si="86"/>
        <v>0</v>
      </c>
      <c r="R258" s="355"/>
      <c r="S258" s="251">
        <v>0</v>
      </c>
      <c r="T258" s="251">
        <v>0</v>
      </c>
      <c r="U258" s="310">
        <f t="shared" si="87"/>
        <v>0</v>
      </c>
      <c r="V258" s="297">
        <f t="shared" si="88"/>
        <v>0</v>
      </c>
      <c r="W258" s="290"/>
      <c r="X258" s="251">
        <v>0</v>
      </c>
      <c r="Y258" s="251">
        <v>0</v>
      </c>
      <c r="Z258" s="310">
        <f t="shared" si="89"/>
        <v>0</v>
      </c>
      <c r="AA258" s="321"/>
      <c r="AB258" s="251">
        <v>0</v>
      </c>
      <c r="AC258" s="251">
        <v>0</v>
      </c>
      <c r="AD258" s="310">
        <f t="shared" si="90"/>
        <v>0</v>
      </c>
      <c r="AE258" s="297">
        <f t="shared" si="84"/>
        <v>0</v>
      </c>
      <c r="AF258" s="290"/>
      <c r="AG258" s="334">
        <f t="shared" si="91"/>
        <v>0</v>
      </c>
    </row>
    <row r="259" spans="1:33" s="236" customFormat="1" ht="15" customHeight="1" hidden="1">
      <c r="A259" s="239" t="s">
        <v>1288</v>
      </c>
      <c r="B259" s="252" t="s">
        <v>337</v>
      </c>
      <c r="C259" s="252" t="s">
        <v>64</v>
      </c>
      <c r="D259" s="251">
        <v>0</v>
      </c>
      <c r="E259" s="251">
        <v>0</v>
      </c>
      <c r="F259" s="251">
        <f t="shared" si="85"/>
        <v>0</v>
      </c>
      <c r="G259" s="251">
        <v>0</v>
      </c>
      <c r="H259" s="310">
        <f t="shared" si="82"/>
        <v>0</v>
      </c>
      <c r="I259" s="290"/>
      <c r="J259" s="251">
        <v>0</v>
      </c>
      <c r="K259" s="251">
        <v>0</v>
      </c>
      <c r="L259" s="310">
        <f t="shared" si="92"/>
        <v>0</v>
      </c>
      <c r="M259" s="297">
        <f t="shared" si="83"/>
        <v>0</v>
      </c>
      <c r="N259" s="290"/>
      <c r="O259" s="251">
        <v>0</v>
      </c>
      <c r="P259" s="251">
        <v>0</v>
      </c>
      <c r="Q259" s="310">
        <f t="shared" si="86"/>
        <v>0</v>
      </c>
      <c r="R259" s="355"/>
      <c r="S259" s="251">
        <v>0</v>
      </c>
      <c r="T259" s="251">
        <v>0</v>
      </c>
      <c r="U259" s="310">
        <f t="shared" si="87"/>
        <v>0</v>
      </c>
      <c r="V259" s="297">
        <f t="shared" si="88"/>
        <v>0</v>
      </c>
      <c r="W259" s="290"/>
      <c r="X259" s="251">
        <v>0</v>
      </c>
      <c r="Y259" s="251">
        <v>0</v>
      </c>
      <c r="Z259" s="310">
        <f t="shared" si="89"/>
        <v>0</v>
      </c>
      <c r="AA259" s="321"/>
      <c r="AB259" s="251">
        <v>0</v>
      </c>
      <c r="AC259" s="251">
        <v>0</v>
      </c>
      <c r="AD259" s="310">
        <f t="shared" si="90"/>
        <v>0</v>
      </c>
      <c r="AE259" s="297">
        <f t="shared" si="84"/>
        <v>0</v>
      </c>
      <c r="AF259" s="290"/>
      <c r="AG259" s="334">
        <f t="shared" si="91"/>
        <v>0</v>
      </c>
    </row>
    <row r="260" spans="1:33" s="236" customFormat="1" ht="15" customHeight="1" hidden="1">
      <c r="A260" s="239" t="s">
        <v>1289</v>
      </c>
      <c r="B260" s="252" t="s">
        <v>338</v>
      </c>
      <c r="C260" s="252" t="s">
        <v>65</v>
      </c>
      <c r="D260" s="251">
        <v>0</v>
      </c>
      <c r="E260" s="251">
        <v>0</v>
      </c>
      <c r="F260" s="251">
        <f t="shared" si="85"/>
        <v>0</v>
      </c>
      <c r="G260" s="251">
        <v>0</v>
      </c>
      <c r="H260" s="310">
        <f t="shared" si="82"/>
        <v>0</v>
      </c>
      <c r="I260" s="290"/>
      <c r="J260" s="251">
        <v>0</v>
      </c>
      <c r="K260" s="251">
        <v>0</v>
      </c>
      <c r="L260" s="310">
        <f t="shared" si="92"/>
        <v>0</v>
      </c>
      <c r="M260" s="297">
        <f t="shared" si="83"/>
        <v>0</v>
      </c>
      <c r="N260" s="290"/>
      <c r="O260" s="251">
        <v>0</v>
      </c>
      <c r="P260" s="251">
        <v>0</v>
      </c>
      <c r="Q260" s="310">
        <f t="shared" si="86"/>
        <v>0</v>
      </c>
      <c r="R260" s="355"/>
      <c r="S260" s="251">
        <v>0</v>
      </c>
      <c r="T260" s="251">
        <v>0</v>
      </c>
      <c r="U260" s="310">
        <f t="shared" si="87"/>
        <v>0</v>
      </c>
      <c r="V260" s="297">
        <f t="shared" si="88"/>
        <v>0</v>
      </c>
      <c r="W260" s="290"/>
      <c r="X260" s="251">
        <v>0</v>
      </c>
      <c r="Y260" s="251">
        <v>0</v>
      </c>
      <c r="Z260" s="310">
        <f t="shared" si="89"/>
        <v>0</v>
      </c>
      <c r="AA260" s="321"/>
      <c r="AB260" s="251">
        <v>0</v>
      </c>
      <c r="AC260" s="251">
        <v>0</v>
      </c>
      <c r="AD260" s="310">
        <f t="shared" si="90"/>
        <v>0</v>
      </c>
      <c r="AE260" s="297">
        <f t="shared" si="84"/>
        <v>0</v>
      </c>
      <c r="AF260" s="290"/>
      <c r="AG260" s="334">
        <f t="shared" si="91"/>
        <v>0</v>
      </c>
    </row>
    <row r="261" spans="1:33" s="5" customFormat="1" ht="7.5" customHeight="1">
      <c r="A261" s="239" t="s">
        <v>1290</v>
      </c>
      <c r="B261" s="278"/>
      <c r="C261" s="278"/>
      <c r="D261" s="279"/>
      <c r="E261" s="279"/>
      <c r="F261" s="279"/>
      <c r="G261" s="279"/>
      <c r="H261" s="279"/>
      <c r="I261" s="292"/>
      <c r="J261" s="279"/>
      <c r="K261" s="279"/>
      <c r="L261" s="279"/>
      <c r="M261" s="279"/>
      <c r="N261" s="292"/>
      <c r="O261" s="279"/>
      <c r="P261" s="279"/>
      <c r="Q261" s="279"/>
      <c r="R261" s="353"/>
      <c r="S261" s="279"/>
      <c r="T261" s="279"/>
      <c r="U261" s="279"/>
      <c r="V261" s="279"/>
      <c r="W261" s="292"/>
      <c r="X261" s="279"/>
      <c r="Y261" s="279"/>
      <c r="Z261" s="279"/>
      <c r="AA261" s="323"/>
      <c r="AB261" s="279"/>
      <c r="AC261" s="279"/>
      <c r="AD261" s="279"/>
      <c r="AE261" s="279"/>
      <c r="AF261" s="292"/>
      <c r="AG261" s="279"/>
    </row>
    <row r="262" spans="1:33" s="10" customFormat="1" ht="15" customHeight="1">
      <c r="A262" s="239" t="s">
        <v>1291</v>
      </c>
      <c r="B262" s="265" t="s">
        <v>939</v>
      </c>
      <c r="C262" s="265" t="s">
        <v>34</v>
      </c>
      <c r="D262" s="266">
        <f>D252+D250+D239+D120</f>
        <v>32995000</v>
      </c>
      <c r="E262" s="266">
        <f>E252+E250+E239+E120</f>
        <v>9140000</v>
      </c>
      <c r="F262" s="266">
        <f>F252+F250+F239+F120</f>
        <v>42135000</v>
      </c>
      <c r="G262" s="266">
        <f>G252+G250+G239+G120</f>
        <v>0</v>
      </c>
      <c r="H262" s="266">
        <f t="shared" si="82"/>
        <v>42135000</v>
      </c>
      <c r="I262" s="289"/>
      <c r="J262" s="266">
        <f>J252+J250+J239+J120</f>
        <v>42965000</v>
      </c>
      <c r="K262" s="266">
        <f>K252+K250+K239+K120</f>
        <v>0</v>
      </c>
      <c r="L262" s="266">
        <f>L252+L250+L239+L120</f>
        <v>42965000</v>
      </c>
      <c r="M262" s="266">
        <f>M252+M250+M239+M120</f>
        <v>85100000</v>
      </c>
      <c r="N262" s="289"/>
      <c r="O262" s="266">
        <f>O252+O250+O239+O120</f>
        <v>29801999.8</v>
      </c>
      <c r="P262" s="266">
        <f>P252+P250+P239+P120</f>
        <v>0</v>
      </c>
      <c r="Q262" s="266">
        <f>Q252+Q250+Q239+Q120</f>
        <v>29801999.8</v>
      </c>
      <c r="R262" s="354"/>
      <c r="S262" s="266">
        <f>S252+S250+S239+S120</f>
        <v>9298000</v>
      </c>
      <c r="T262" s="266">
        <f>T252+T250+T239+T120</f>
        <v>0</v>
      </c>
      <c r="U262" s="266">
        <f>U252+U250+U239+U120</f>
        <v>9298000</v>
      </c>
      <c r="V262" s="266">
        <f>Q262+U262</f>
        <v>39099999.8</v>
      </c>
      <c r="W262" s="289"/>
      <c r="X262" s="266">
        <f>X252+X250+X239+X120</f>
        <v>89580000</v>
      </c>
      <c r="Y262" s="266">
        <f>Y252+Y250+Y239+Y120</f>
        <v>12740000</v>
      </c>
      <c r="Z262" s="266">
        <f>Z252+Z250+Z239+Z120</f>
        <v>102320000</v>
      </c>
      <c r="AA262" s="320"/>
      <c r="AB262" s="266">
        <f>AB252+AB250+AB239+AB120</f>
        <v>114170000</v>
      </c>
      <c r="AC262" s="266">
        <f>AC252+AC250+AC239+AC120</f>
        <v>-12740000</v>
      </c>
      <c r="AD262" s="266">
        <f>AD252+AD250+AD239+AD120</f>
        <v>101430000</v>
      </c>
      <c r="AE262" s="266">
        <f>Z262+AD262</f>
        <v>203750000</v>
      </c>
      <c r="AF262" s="289"/>
      <c r="AG262" s="285">
        <f>M262+V262+AE262</f>
        <v>327949999.8</v>
      </c>
    </row>
    <row r="263" spans="8:30" ht="15" customHeight="1">
      <c r="H263" s="13">
        <f>H262/4</f>
        <v>10533750</v>
      </c>
      <c r="J263" s="13">
        <f>J262/4</f>
        <v>10741250</v>
      </c>
      <c r="M263" s="13">
        <f>M262/4</f>
        <v>21275000</v>
      </c>
      <c r="N263" s="13">
        <f aca="true" t="shared" si="93" ref="N263:V263">N262/4</f>
        <v>0</v>
      </c>
      <c r="O263" s="13">
        <f t="shared" si="93"/>
        <v>7450499.95</v>
      </c>
      <c r="P263" s="13">
        <f t="shared" si="93"/>
        <v>0</v>
      </c>
      <c r="Q263" s="13">
        <f t="shared" si="93"/>
        <v>7450499.95</v>
      </c>
      <c r="R263" s="13">
        <f t="shared" si="93"/>
        <v>0</v>
      </c>
      <c r="S263" s="13">
        <f t="shared" si="93"/>
        <v>2324500</v>
      </c>
      <c r="T263" s="13">
        <f t="shared" si="93"/>
        <v>0</v>
      </c>
      <c r="U263" s="13">
        <f t="shared" si="93"/>
        <v>2324500</v>
      </c>
      <c r="V263" s="13">
        <f t="shared" si="93"/>
        <v>9774999.95</v>
      </c>
      <c r="X263" s="677"/>
      <c r="Y263" s="677">
        <f>Y262/12</f>
        <v>1061666.6666666667</v>
      </c>
      <c r="Z263" s="677"/>
      <c r="AA263" s="677"/>
      <c r="AB263" s="677"/>
      <c r="AC263" s="677"/>
      <c r="AD263" s="677"/>
    </row>
    <row r="264" spans="3:28" ht="15" customHeight="1">
      <c r="C264" s="58"/>
      <c r="H264" s="6">
        <f>H263*2</f>
        <v>21067500</v>
      </c>
      <c r="I264" s="6">
        <f>I263*2</f>
        <v>0</v>
      </c>
      <c r="J264" s="6">
        <f>J263*2</f>
        <v>21482500</v>
      </c>
      <c r="M264" s="13"/>
      <c r="N264" s="14"/>
      <c r="X264" s="677"/>
      <c r="Y264" s="677"/>
      <c r="Z264" s="677"/>
      <c r="AA264" s="678"/>
      <c r="AB264" s="677"/>
    </row>
    <row r="265" spans="3:28" ht="15" customHeight="1">
      <c r="C265" s="6" t="s">
        <v>1543</v>
      </c>
      <c r="M265" s="13"/>
      <c r="N265" s="14"/>
      <c r="AB265" s="677"/>
    </row>
    <row r="266" spans="13:14" ht="15" customHeight="1">
      <c r="M266" s="13"/>
      <c r="N266" s="14"/>
    </row>
    <row r="267" spans="13:14" ht="15" customHeight="1">
      <c r="M267" s="13"/>
      <c r="N267" s="14"/>
    </row>
    <row r="268" spans="3:33" ht="15" customHeight="1">
      <c r="C268" s="679" t="s">
        <v>909</v>
      </c>
      <c r="F268" s="6" t="s">
        <v>1335</v>
      </c>
      <c r="K268" s="6" t="s">
        <v>1334</v>
      </c>
      <c r="M268" s="13"/>
      <c r="N268" s="14"/>
      <c r="P268" s="6" t="s">
        <v>897</v>
      </c>
      <c r="T268" s="6" t="s">
        <v>897</v>
      </c>
      <c r="Y268" s="6" t="s">
        <v>897</v>
      </c>
      <c r="AA268" s="6"/>
      <c r="AB268" s="5"/>
      <c r="AC268" s="6" t="s">
        <v>897</v>
      </c>
      <c r="AG268" s="652" t="s">
        <v>1335</v>
      </c>
    </row>
    <row r="269" ht="15" customHeight="1">
      <c r="AG269" s="13"/>
    </row>
    <row r="270" ht="15" customHeight="1">
      <c r="AG270" s="13"/>
    </row>
    <row r="276" ht="15">
      <c r="C276" s="6">
        <v>0</v>
      </c>
    </row>
  </sheetData>
  <sheetProtection/>
  <mergeCells count="22">
    <mergeCell ref="O3:Q3"/>
    <mergeCell ref="S3:U3"/>
    <mergeCell ref="V3:V4"/>
    <mergeCell ref="O76:Q76"/>
    <mergeCell ref="S76:U76"/>
    <mergeCell ref="V76:V77"/>
    <mergeCell ref="D3:H3"/>
    <mergeCell ref="J3:L3"/>
    <mergeCell ref="C3:C4"/>
    <mergeCell ref="M3:M4"/>
    <mergeCell ref="C76:C77"/>
    <mergeCell ref="D76:H76"/>
    <mergeCell ref="J76:L76"/>
    <mergeCell ref="M76:M77"/>
    <mergeCell ref="X3:Z3"/>
    <mergeCell ref="AB3:AD3"/>
    <mergeCell ref="AE3:AE4"/>
    <mergeCell ref="AG3:AG4"/>
    <mergeCell ref="X76:Z76"/>
    <mergeCell ref="AB76:AD76"/>
    <mergeCell ref="AE76:AE77"/>
    <mergeCell ref="AG76:AG77"/>
  </mergeCells>
  <printOptions/>
  <pageMargins left="0.31496062992125984" right="0.11811023622047245" top="0.35433070866141736" bottom="0.15748031496062992" header="0.31496062992125984" footer="0.31496062992125984"/>
  <pageSetup horizontalDpi="600" verticalDpi="600" orientation="landscape" paperSize="8" r:id="rId3"/>
  <legacyDrawing r:id="rId2"/>
</worksheet>
</file>

<file path=xl/worksheets/sheet10.xml><?xml version="1.0" encoding="utf-8"?>
<worksheet xmlns="http://schemas.openxmlformats.org/spreadsheetml/2006/main" xmlns:r="http://schemas.openxmlformats.org/officeDocument/2006/relationships">
  <dimension ref="A2:M76"/>
  <sheetViews>
    <sheetView zoomScalePageLayoutView="0" workbookViewId="0" topLeftCell="A36">
      <selection activeCell="U63" sqref="U63"/>
    </sheetView>
  </sheetViews>
  <sheetFormatPr defaultColWidth="9.140625" defaultRowHeight="15"/>
  <cols>
    <col min="1" max="1" width="37.421875" style="1" customWidth="1"/>
    <col min="2" max="4" width="11.57421875" style="2" hidden="1" customWidth="1"/>
    <col min="5" max="5" width="1.57421875" style="1" hidden="1" customWidth="1"/>
    <col min="6" max="7" width="12.00390625" style="2" hidden="1" customWidth="1"/>
    <col min="8" max="8" width="12.00390625" style="130" hidden="1" customWidth="1"/>
    <col min="9" max="9" width="1.8515625" style="1" customWidth="1"/>
    <col min="10" max="12" width="11.7109375" style="225" customWidth="1"/>
    <col min="13" max="13" width="11.00390625" style="1" customWidth="1"/>
    <col min="14" max="16384" width="9.140625" style="1" customWidth="1"/>
  </cols>
  <sheetData>
    <row r="2" ht="21">
      <c r="A2" s="135" t="s">
        <v>883</v>
      </c>
    </row>
    <row r="3" ht="8.25" customHeight="1"/>
    <row r="4" ht="15.75">
      <c r="A4" s="4" t="s">
        <v>941</v>
      </c>
    </row>
    <row r="5" spans="1:10" ht="15.75">
      <c r="A5" s="4"/>
      <c r="B5" s="4" t="s">
        <v>942</v>
      </c>
      <c r="F5" s="4" t="s">
        <v>943</v>
      </c>
      <c r="J5" s="226" t="s">
        <v>1070</v>
      </c>
    </row>
    <row r="6" spans="1:12" ht="15">
      <c r="A6" s="136" t="s">
        <v>944</v>
      </c>
      <c r="B6" s="137" t="s">
        <v>354</v>
      </c>
      <c r="C6" s="137" t="s">
        <v>945</v>
      </c>
      <c r="D6" s="137" t="s">
        <v>340</v>
      </c>
      <c r="F6" s="137" t="s">
        <v>354</v>
      </c>
      <c r="G6" s="137" t="s">
        <v>945</v>
      </c>
      <c r="H6" s="138" t="s">
        <v>340</v>
      </c>
      <c r="J6" s="227" t="s">
        <v>354</v>
      </c>
      <c r="K6" s="227" t="s">
        <v>945</v>
      </c>
      <c r="L6" s="227" t="s">
        <v>340</v>
      </c>
    </row>
    <row r="7" spans="1:12" ht="15">
      <c r="A7" s="127" t="s">
        <v>946</v>
      </c>
      <c r="B7" s="139">
        <v>6775800</v>
      </c>
      <c r="C7" s="139">
        <v>0</v>
      </c>
      <c r="D7" s="8">
        <f aca="true" t="shared" si="0" ref="D7:D13">B7+C7</f>
        <v>6775800</v>
      </c>
      <c r="F7" s="140">
        <v>5065887</v>
      </c>
      <c r="G7" s="140">
        <v>0</v>
      </c>
      <c r="H7" s="140">
        <f aca="true" t="shared" si="1" ref="H7:H13">F7+G7</f>
        <v>5065887</v>
      </c>
      <c r="J7" s="129">
        <v>6775800</v>
      </c>
      <c r="K7" s="129">
        <v>0</v>
      </c>
      <c r="L7" s="129">
        <f aca="true" t="shared" si="2" ref="L7:L13">J7+K7</f>
        <v>6775800</v>
      </c>
    </row>
    <row r="8" spans="1:12" ht="15">
      <c r="A8" s="127" t="s">
        <v>947</v>
      </c>
      <c r="B8" s="139">
        <v>40244667</v>
      </c>
      <c r="C8" s="139">
        <v>0</v>
      </c>
      <c r="D8" s="8">
        <f t="shared" si="0"/>
        <v>40244667</v>
      </c>
      <c r="F8" s="140">
        <v>43510038</v>
      </c>
      <c r="G8" s="140">
        <v>0</v>
      </c>
      <c r="H8" s="140">
        <f t="shared" si="1"/>
        <v>43510038</v>
      </c>
      <c r="J8" s="129">
        <v>40244667</v>
      </c>
      <c r="K8" s="129">
        <v>0</v>
      </c>
      <c r="L8" s="129">
        <f t="shared" si="2"/>
        <v>40244667</v>
      </c>
    </row>
    <row r="9" spans="1:12" ht="15">
      <c r="A9" s="127" t="s">
        <v>948</v>
      </c>
      <c r="B9" s="139">
        <v>0</v>
      </c>
      <c r="C9" s="139">
        <v>24327000</v>
      </c>
      <c r="D9" s="8">
        <f t="shared" si="0"/>
        <v>24327000</v>
      </c>
      <c r="F9" s="140">
        <v>0</v>
      </c>
      <c r="G9" s="140">
        <v>25804255</v>
      </c>
      <c r="H9" s="140">
        <f t="shared" si="1"/>
        <v>25804255</v>
      </c>
      <c r="J9" s="129">
        <v>0</v>
      </c>
      <c r="K9" s="129">
        <v>24327000</v>
      </c>
      <c r="L9" s="129">
        <f t="shared" si="2"/>
        <v>24327000</v>
      </c>
    </row>
    <row r="10" spans="1:12" s="3" customFormat="1" ht="15">
      <c r="A10" s="127" t="s">
        <v>949</v>
      </c>
      <c r="B10" s="139">
        <v>0</v>
      </c>
      <c r="C10" s="139">
        <v>11881333</v>
      </c>
      <c r="D10" s="8">
        <f t="shared" si="0"/>
        <v>11881333</v>
      </c>
      <c r="F10" s="140">
        <v>0</v>
      </c>
      <c r="G10" s="140">
        <v>8833288</v>
      </c>
      <c r="H10" s="140">
        <f t="shared" si="1"/>
        <v>8833288</v>
      </c>
      <c r="J10" s="129">
        <v>0</v>
      </c>
      <c r="K10" s="129">
        <v>11881333</v>
      </c>
      <c r="L10" s="129">
        <f t="shared" si="2"/>
        <v>11881333</v>
      </c>
    </row>
    <row r="11" spans="1:12" ht="15">
      <c r="A11" s="127" t="s">
        <v>950</v>
      </c>
      <c r="B11" s="139">
        <v>2940000</v>
      </c>
      <c r="C11" s="139">
        <v>0</v>
      </c>
      <c r="D11" s="8">
        <f t="shared" si="0"/>
        <v>2940000</v>
      </c>
      <c r="F11" s="140">
        <v>2889333</v>
      </c>
      <c r="G11" s="140">
        <v>0</v>
      </c>
      <c r="H11" s="140">
        <f t="shared" si="1"/>
        <v>2889333</v>
      </c>
      <c r="J11" s="129">
        <v>2940000</v>
      </c>
      <c r="K11" s="129">
        <v>0</v>
      </c>
      <c r="L11" s="129">
        <f t="shared" si="2"/>
        <v>2940000</v>
      </c>
    </row>
    <row r="12" spans="1:12" ht="15">
      <c r="A12" s="127" t="s">
        <v>951</v>
      </c>
      <c r="B12" s="139">
        <f>3774667/2</f>
        <v>1887333.5</v>
      </c>
      <c r="C12" s="139">
        <f>3774667/2</f>
        <v>1887333.5</v>
      </c>
      <c r="D12" s="8">
        <f t="shared" si="0"/>
        <v>3774667</v>
      </c>
      <c r="F12" s="140">
        <f>3457333/2</f>
        <v>1728666.5</v>
      </c>
      <c r="G12" s="140">
        <f>3457333/2</f>
        <v>1728666.5</v>
      </c>
      <c r="H12" s="140">
        <f t="shared" si="1"/>
        <v>3457333</v>
      </c>
      <c r="J12" s="129">
        <f>3774667/2</f>
        <v>1887333.5</v>
      </c>
      <c r="K12" s="129">
        <f>3774667/2</f>
        <v>1887333.5</v>
      </c>
      <c r="L12" s="129">
        <f t="shared" si="2"/>
        <v>3774667</v>
      </c>
    </row>
    <row r="13" spans="1:12" s="144" customFormat="1" ht="15">
      <c r="A13" s="141" t="s">
        <v>340</v>
      </c>
      <c r="B13" s="142">
        <f>SUM(B7:B12)</f>
        <v>51847800.5</v>
      </c>
      <c r="C13" s="142">
        <f>SUM(C7:C12)</f>
        <v>38095666.5</v>
      </c>
      <c r="D13" s="143">
        <f t="shared" si="0"/>
        <v>89943467</v>
      </c>
      <c r="F13" s="145">
        <f>SUM(F7:F12)</f>
        <v>53193924.5</v>
      </c>
      <c r="G13" s="145">
        <f>SUM(G7:G12)</f>
        <v>36366209.5</v>
      </c>
      <c r="H13" s="145">
        <f t="shared" si="1"/>
        <v>89560134</v>
      </c>
      <c r="J13" s="182">
        <f>SUM(J7:J12)</f>
        <v>51847800.5</v>
      </c>
      <c r="K13" s="182">
        <f>SUM(K7:K12)</f>
        <v>38095666.5</v>
      </c>
      <c r="L13" s="182">
        <f t="shared" si="2"/>
        <v>89943467</v>
      </c>
    </row>
    <row r="14" spans="1:12" s="148" customFormat="1" ht="15">
      <c r="A14" s="146" t="s">
        <v>952</v>
      </c>
      <c r="B14" s="147"/>
      <c r="C14" s="147"/>
      <c r="D14" s="147"/>
      <c r="F14" s="147"/>
      <c r="G14" s="147"/>
      <c r="H14" s="129"/>
      <c r="J14" s="228"/>
      <c r="K14" s="228"/>
      <c r="L14" s="228"/>
    </row>
    <row r="15" spans="1:12" s="148" customFormat="1" ht="15">
      <c r="A15" s="127" t="s">
        <v>946</v>
      </c>
      <c r="B15" s="139">
        <v>3240600</v>
      </c>
      <c r="C15" s="139"/>
      <c r="D15" s="8">
        <f aca="true" t="shared" si="3" ref="D15:D20">B15+C15</f>
        <v>3240600</v>
      </c>
      <c r="F15" s="140">
        <f>856731+2658053</f>
        <v>3514784</v>
      </c>
      <c r="G15" s="140"/>
      <c r="H15" s="140">
        <f aca="true" t="shared" si="4" ref="H15:H20">F15+G15</f>
        <v>3514784</v>
      </c>
      <c r="J15" s="129">
        <v>2504100</v>
      </c>
      <c r="K15" s="129"/>
      <c r="L15" s="129">
        <f aca="true" t="shared" si="5" ref="L15:L20">J15+K15</f>
        <v>2504100</v>
      </c>
    </row>
    <row r="16" spans="1:12" s="148" customFormat="1" ht="15">
      <c r="A16" s="127" t="s">
        <v>947</v>
      </c>
      <c r="B16" s="139">
        <v>19972167</v>
      </c>
      <c r="C16" s="139"/>
      <c r="D16" s="8">
        <f t="shared" si="3"/>
        <v>19972167</v>
      </c>
      <c r="F16" s="140">
        <f>5150074+15949295</f>
        <v>21099369</v>
      </c>
      <c r="G16" s="140"/>
      <c r="H16" s="140">
        <f t="shared" si="4"/>
        <v>21099369</v>
      </c>
      <c r="J16" s="129">
        <v>19371500</v>
      </c>
      <c r="K16" s="129"/>
      <c r="L16" s="129">
        <f t="shared" si="5"/>
        <v>19371500</v>
      </c>
    </row>
    <row r="17" spans="1:12" s="148" customFormat="1" ht="15">
      <c r="A17" s="127" t="s">
        <v>948</v>
      </c>
      <c r="B17" s="139"/>
      <c r="C17" s="139">
        <v>12013333</v>
      </c>
      <c r="D17" s="8">
        <f t="shared" si="3"/>
        <v>12013333</v>
      </c>
      <c r="F17" s="140"/>
      <c r="G17" s="140">
        <f>3117758+9655403</f>
        <v>12773161</v>
      </c>
      <c r="H17" s="140">
        <f t="shared" si="4"/>
        <v>12773161</v>
      </c>
      <c r="J17" s="129"/>
      <c r="K17" s="129">
        <v>12313667</v>
      </c>
      <c r="L17" s="129">
        <f t="shared" si="5"/>
        <v>12313667</v>
      </c>
    </row>
    <row r="18" spans="1:12" s="148" customFormat="1" ht="15">
      <c r="A18" s="127" t="s">
        <v>949</v>
      </c>
      <c r="B18" s="139"/>
      <c r="C18" s="139">
        <v>5159000</v>
      </c>
      <c r="D18" s="8">
        <f t="shared" si="3"/>
        <v>5159000</v>
      </c>
      <c r="F18" s="140"/>
      <c r="G18" s="140">
        <f>1392203+4318593</f>
        <v>5710796</v>
      </c>
      <c r="H18" s="140">
        <f t="shared" si="4"/>
        <v>5710796</v>
      </c>
      <c r="J18" s="129"/>
      <c r="K18" s="129">
        <v>4533667</v>
      </c>
      <c r="L18" s="129">
        <f t="shared" si="5"/>
        <v>4533667</v>
      </c>
    </row>
    <row r="19" spans="1:12" s="148" customFormat="1" ht="15">
      <c r="A19" s="127" t="s">
        <v>950</v>
      </c>
      <c r="B19" s="139">
        <v>1470000</v>
      </c>
      <c r="C19" s="139"/>
      <c r="D19" s="8">
        <f t="shared" si="3"/>
        <v>1470000</v>
      </c>
      <c r="F19" s="140">
        <f>361167+1083500</f>
        <v>1444667</v>
      </c>
      <c r="G19" s="140"/>
      <c r="H19" s="140">
        <f t="shared" si="4"/>
        <v>1444667</v>
      </c>
      <c r="J19" s="129">
        <v>1470000</v>
      </c>
      <c r="K19" s="129"/>
      <c r="L19" s="129">
        <f t="shared" si="5"/>
        <v>1470000</v>
      </c>
    </row>
    <row r="20" spans="1:12" s="148" customFormat="1" ht="15">
      <c r="A20" s="127" t="s">
        <v>951</v>
      </c>
      <c r="B20" s="139">
        <f>1887333/2</f>
        <v>943666.5</v>
      </c>
      <c r="C20" s="139">
        <f>1887333/2</f>
        <v>943666.5</v>
      </c>
      <c r="D20" s="8">
        <f t="shared" si="3"/>
        <v>1887333</v>
      </c>
      <c r="F20" s="140">
        <f>(432167+1296500)/2</f>
        <v>864333.5</v>
      </c>
      <c r="G20" s="140">
        <f>(432167+1296500)/2</f>
        <v>864333.5</v>
      </c>
      <c r="H20" s="140">
        <f t="shared" si="4"/>
        <v>1728667</v>
      </c>
      <c r="J20" s="129">
        <f>1887333/2</f>
        <v>943666.5</v>
      </c>
      <c r="K20" s="129">
        <f>1887333/2</f>
        <v>943666.5</v>
      </c>
      <c r="L20" s="129">
        <f t="shared" si="5"/>
        <v>1887333</v>
      </c>
    </row>
    <row r="21" spans="1:12" s="144" customFormat="1" ht="15">
      <c r="A21" s="141" t="s">
        <v>340</v>
      </c>
      <c r="B21" s="142">
        <f>SUM(B15:B20)</f>
        <v>25626433.5</v>
      </c>
      <c r="C21" s="142">
        <f>SUM(C15:C20)</f>
        <v>18115999.5</v>
      </c>
      <c r="D21" s="143">
        <f>SUM(D15:D20)</f>
        <v>43742433</v>
      </c>
      <c r="F21" s="145">
        <f>SUM(F15:F20)</f>
        <v>26923153.5</v>
      </c>
      <c r="G21" s="145">
        <f>SUM(G15:G20)</f>
        <v>19348290.5</v>
      </c>
      <c r="H21" s="145">
        <f>SUM(H15:H20)</f>
        <v>46271444</v>
      </c>
      <c r="J21" s="182">
        <f>SUM(J15:J20)</f>
        <v>24289266.5</v>
      </c>
      <c r="K21" s="182">
        <f>SUM(K15:K20)</f>
        <v>17791000.5</v>
      </c>
      <c r="L21" s="182">
        <f>SUM(L15:L20)</f>
        <v>42080267</v>
      </c>
    </row>
    <row r="22" spans="1:12" ht="15">
      <c r="A22" s="149" t="s">
        <v>953</v>
      </c>
      <c r="B22" s="150">
        <f>B21+B13</f>
        <v>77474234</v>
      </c>
      <c r="C22" s="150">
        <f>C21+C13</f>
        <v>56211666</v>
      </c>
      <c r="D22" s="150">
        <f>D21+D13</f>
        <v>133685900</v>
      </c>
      <c r="F22" s="150">
        <f>F21+F13</f>
        <v>80117078</v>
      </c>
      <c r="G22" s="150">
        <f>G21+G13</f>
        <v>55714500</v>
      </c>
      <c r="H22" s="151">
        <f>H21+H13</f>
        <v>135831578</v>
      </c>
      <c r="J22" s="229">
        <f>J21+J13</f>
        <v>76137067</v>
      </c>
      <c r="K22" s="229">
        <f>K21+K13</f>
        <v>55886667</v>
      </c>
      <c r="L22" s="229">
        <f>L21+L13</f>
        <v>132023734</v>
      </c>
    </row>
    <row r="23" spans="1:12" ht="15">
      <c r="A23" s="152"/>
      <c r="B23" s="153"/>
      <c r="C23" s="153"/>
      <c r="D23" s="153"/>
      <c r="F23" s="153"/>
      <c r="G23" s="153"/>
      <c r="H23" s="133"/>
      <c r="J23" s="230">
        <f>J21/4</f>
        <v>6072316.625</v>
      </c>
      <c r="K23" s="230">
        <f>K21/4</f>
        <v>4447750.125</v>
      </c>
      <c r="L23" s="230">
        <f>L21/4</f>
        <v>10520066.75</v>
      </c>
    </row>
    <row r="24" spans="1:12" ht="15">
      <c r="A24" s="154" t="s">
        <v>954</v>
      </c>
      <c r="B24" s="155"/>
      <c r="C24" s="155"/>
      <c r="D24" s="155"/>
      <c r="F24" s="155"/>
      <c r="G24" s="155"/>
      <c r="H24" s="132"/>
      <c r="J24" s="231"/>
      <c r="K24" s="231"/>
      <c r="L24" s="231"/>
    </row>
    <row r="25" spans="1:12" s="3" customFormat="1" ht="15">
      <c r="A25" s="127" t="s">
        <v>955</v>
      </c>
      <c r="B25" s="8">
        <v>0</v>
      </c>
      <c r="C25" s="139">
        <v>1062664</v>
      </c>
      <c r="D25" s="8">
        <f>B25+C25</f>
        <v>1062664</v>
      </c>
      <c r="F25" s="140">
        <v>0</v>
      </c>
      <c r="G25" s="140">
        <v>1062664</v>
      </c>
      <c r="H25" s="140">
        <f>F25+G25</f>
        <v>1062664</v>
      </c>
      <c r="J25" s="129">
        <v>0</v>
      </c>
      <c r="K25" s="129">
        <v>1062664</v>
      </c>
      <c r="L25" s="129">
        <f>J25+K25</f>
        <v>1062664</v>
      </c>
    </row>
    <row r="26" spans="1:12" s="144" customFormat="1" ht="15">
      <c r="A26" s="141" t="s">
        <v>340</v>
      </c>
      <c r="B26" s="142">
        <f>SUM(B25)</f>
        <v>0</v>
      </c>
      <c r="C26" s="142">
        <f>SUM(C25)</f>
        <v>1062664</v>
      </c>
      <c r="D26" s="143">
        <f>B26+C26</f>
        <v>1062664</v>
      </c>
      <c r="F26" s="145">
        <f>SUM(F25)</f>
        <v>0</v>
      </c>
      <c r="G26" s="145">
        <f>SUM(G25)</f>
        <v>1062664</v>
      </c>
      <c r="H26" s="145">
        <f>F26+G26</f>
        <v>1062664</v>
      </c>
      <c r="J26" s="182">
        <f>SUM(J25)</f>
        <v>0</v>
      </c>
      <c r="K26" s="182">
        <f>SUM(K25)</f>
        <v>1062664</v>
      </c>
      <c r="L26" s="182">
        <f>J26+K26</f>
        <v>1062664</v>
      </c>
    </row>
    <row r="27" spans="1:12" ht="15">
      <c r="A27" s="127" t="s">
        <v>956</v>
      </c>
      <c r="B27" s="139">
        <v>233919</v>
      </c>
      <c r="C27" s="155"/>
      <c r="D27" s="8">
        <f>B27+C27</f>
        <v>233919</v>
      </c>
      <c r="F27" s="140">
        <v>233919</v>
      </c>
      <c r="G27" s="156"/>
      <c r="H27" s="140">
        <f>F27+G27</f>
        <v>233919</v>
      </c>
      <c r="J27" s="129">
        <v>233919</v>
      </c>
      <c r="K27" s="132"/>
      <c r="L27" s="129">
        <f>J27+K27</f>
        <v>233919</v>
      </c>
    </row>
    <row r="28" spans="1:12" ht="15">
      <c r="A28" s="127" t="s">
        <v>956</v>
      </c>
      <c r="B28" s="139">
        <v>231000</v>
      </c>
      <c r="C28" s="155"/>
      <c r="D28" s="8">
        <f>B28+C28</f>
        <v>231000</v>
      </c>
      <c r="F28" s="140">
        <v>231000</v>
      </c>
      <c r="G28" s="156"/>
      <c r="H28" s="140">
        <f>F28+G28</f>
        <v>231000</v>
      </c>
      <c r="J28" s="129">
        <v>231000</v>
      </c>
      <c r="K28" s="132"/>
      <c r="L28" s="129">
        <f>J28+K28</f>
        <v>231000</v>
      </c>
    </row>
    <row r="29" spans="1:12" s="144" customFormat="1" ht="15">
      <c r="A29" s="141" t="s">
        <v>340</v>
      </c>
      <c r="B29" s="142">
        <f>SUM(B27:B28)</f>
        <v>464919</v>
      </c>
      <c r="C29" s="142">
        <f>SUM(C27:C28)</f>
        <v>0</v>
      </c>
      <c r="D29" s="143">
        <f>SUM(D27:D28)</f>
        <v>464919</v>
      </c>
      <c r="F29" s="145">
        <f>SUM(F27:F28)</f>
        <v>464919</v>
      </c>
      <c r="G29" s="145">
        <f>SUM(G27:G28)</f>
        <v>0</v>
      </c>
      <c r="H29" s="145">
        <f>SUM(H27:H28)</f>
        <v>464919</v>
      </c>
      <c r="J29" s="182">
        <f>SUM(J27:J28)</f>
        <v>464919</v>
      </c>
      <c r="K29" s="182">
        <f>SUM(K27:K28)</f>
        <v>0</v>
      </c>
      <c r="L29" s="182">
        <f>SUM(L27:L28)</f>
        <v>464919</v>
      </c>
    </row>
    <row r="30" spans="1:12" s="148" customFormat="1" ht="15">
      <c r="A30" s="154" t="s">
        <v>957</v>
      </c>
      <c r="B30" s="155"/>
      <c r="C30" s="155"/>
      <c r="D30" s="155"/>
      <c r="F30" s="156"/>
      <c r="G30" s="156"/>
      <c r="H30" s="156"/>
      <c r="J30" s="231"/>
      <c r="K30" s="231"/>
      <c r="L30" s="231"/>
    </row>
    <row r="31" spans="1:12" s="148" customFormat="1" ht="15">
      <c r="A31" s="127" t="s">
        <v>955</v>
      </c>
      <c r="B31" s="139">
        <v>0</v>
      </c>
      <c r="C31" s="139">
        <v>531336</v>
      </c>
      <c r="D31" s="8">
        <f>B31+C31</f>
        <v>531336</v>
      </c>
      <c r="F31" s="140">
        <v>0</v>
      </c>
      <c r="G31" s="140">
        <v>531336</v>
      </c>
      <c r="H31" s="140">
        <f>F31+G31</f>
        <v>531336</v>
      </c>
      <c r="J31" s="129">
        <v>0</v>
      </c>
      <c r="K31" s="129">
        <v>531336</v>
      </c>
      <c r="L31" s="129">
        <f>J31+K31</f>
        <v>531336</v>
      </c>
    </row>
    <row r="32" spans="1:12" s="144" customFormat="1" ht="15">
      <c r="A32" s="141" t="s">
        <v>340</v>
      </c>
      <c r="B32" s="142">
        <f>SUM(B31)</f>
        <v>0</v>
      </c>
      <c r="C32" s="142">
        <f>SUM(C31)</f>
        <v>531336</v>
      </c>
      <c r="D32" s="143">
        <f>B32+C32</f>
        <v>531336</v>
      </c>
      <c r="F32" s="145">
        <f>SUM(F31)</f>
        <v>0</v>
      </c>
      <c r="G32" s="145">
        <f>SUM(G31)</f>
        <v>531336</v>
      </c>
      <c r="H32" s="145">
        <f>F32+G32</f>
        <v>531336</v>
      </c>
      <c r="J32" s="182">
        <f>SUM(J31)</f>
        <v>0</v>
      </c>
      <c r="K32" s="182">
        <f>SUM(K31)</f>
        <v>531336</v>
      </c>
      <c r="L32" s="182">
        <f>J32+K32</f>
        <v>531336</v>
      </c>
    </row>
    <row r="33" spans="1:12" s="148" customFormat="1" ht="15">
      <c r="A33" s="127" t="s">
        <v>956</v>
      </c>
      <c r="B33" s="139">
        <v>133664</v>
      </c>
      <c r="C33" s="155"/>
      <c r="D33" s="8">
        <f>B33+C33</f>
        <v>133664</v>
      </c>
      <c r="F33" s="140">
        <f>133664+16409</f>
        <v>150073</v>
      </c>
      <c r="G33" s="156"/>
      <c r="H33" s="140">
        <f>F33+G33</f>
        <v>150073</v>
      </c>
      <c r="J33" s="129">
        <v>133664</v>
      </c>
      <c r="K33" s="132"/>
      <c r="L33" s="129">
        <f>J33+K33</f>
        <v>133664</v>
      </c>
    </row>
    <row r="34" spans="1:12" s="148" customFormat="1" ht="15">
      <c r="A34" s="127" t="s">
        <v>956</v>
      </c>
      <c r="B34" s="139">
        <v>132000</v>
      </c>
      <c r="C34" s="155"/>
      <c r="D34" s="8">
        <f>B34+C34</f>
        <v>132000</v>
      </c>
      <c r="F34" s="140">
        <v>132000</v>
      </c>
      <c r="G34" s="156"/>
      <c r="H34" s="140">
        <f>F34+G34</f>
        <v>132000</v>
      </c>
      <c r="J34" s="129">
        <v>132000</v>
      </c>
      <c r="K34" s="132"/>
      <c r="L34" s="129">
        <f>J34+K34</f>
        <v>132000</v>
      </c>
    </row>
    <row r="35" spans="1:12" s="144" customFormat="1" ht="15">
      <c r="A35" s="141" t="s">
        <v>340</v>
      </c>
      <c r="B35" s="142">
        <f>SUM(B33:B34)</f>
        <v>265664</v>
      </c>
      <c r="C35" s="142">
        <f>SUM(C33:C34)</f>
        <v>0</v>
      </c>
      <c r="D35" s="143">
        <f>SUM(D33:D34)</f>
        <v>265664</v>
      </c>
      <c r="F35" s="145">
        <f>SUM(F33:F34)</f>
        <v>282073</v>
      </c>
      <c r="G35" s="145">
        <f>SUM(G33:G34)</f>
        <v>0</v>
      </c>
      <c r="H35" s="145">
        <f>SUM(H33:H34)</f>
        <v>282073</v>
      </c>
      <c r="J35" s="182">
        <f>SUM(J33:J34)</f>
        <v>265664</v>
      </c>
      <c r="K35" s="182">
        <f>SUM(K33:K34)</f>
        <v>0</v>
      </c>
      <c r="L35" s="182">
        <f>SUM(L33:L34)</f>
        <v>265664</v>
      </c>
    </row>
    <row r="36" spans="1:12" ht="15">
      <c r="A36" s="157" t="s">
        <v>958</v>
      </c>
      <c r="B36" s="150">
        <f>B35+B32+B29+B26</f>
        <v>730583</v>
      </c>
      <c r="C36" s="150">
        <f>C35+C32+C29+C26</f>
        <v>1594000</v>
      </c>
      <c r="D36" s="150">
        <f>D35+D32+D29+D26</f>
        <v>2324583</v>
      </c>
      <c r="F36" s="151">
        <f>F35+F32+F29+F26</f>
        <v>746992</v>
      </c>
      <c r="G36" s="151">
        <f>G35+G32+G29+G26</f>
        <v>1594000</v>
      </c>
      <c r="H36" s="151">
        <f>H35+H32+H29+H26</f>
        <v>2340992</v>
      </c>
      <c r="J36" s="151">
        <f>J35+J32+J29+J26</f>
        <v>730583</v>
      </c>
      <c r="K36" s="151">
        <f>K35+K32+K29+K26</f>
        <v>1594000</v>
      </c>
      <c r="L36" s="151">
        <f>L35+L32+L29+L26</f>
        <v>2324583</v>
      </c>
    </row>
    <row r="37" spans="1:12" ht="15">
      <c r="A37" s="158" t="s">
        <v>959</v>
      </c>
      <c r="B37" s="159">
        <f>B36+B22</f>
        <v>78204817</v>
      </c>
      <c r="C37" s="159">
        <f>C36+C22</f>
        <v>57805666</v>
      </c>
      <c r="D37" s="159">
        <f>D36+D22</f>
        <v>136010483</v>
      </c>
      <c r="F37" s="159">
        <f>F36+F22</f>
        <v>80864070</v>
      </c>
      <c r="G37" s="159">
        <f>G36+G22</f>
        <v>57308500</v>
      </c>
      <c r="H37" s="160">
        <f>H36+H22</f>
        <v>138172570</v>
      </c>
      <c r="J37" s="232">
        <f>J36+J22</f>
        <v>76867650</v>
      </c>
      <c r="K37" s="232">
        <f>K36+K22</f>
        <v>57480667</v>
      </c>
      <c r="L37" s="232">
        <f>L36+L22</f>
        <v>134348317</v>
      </c>
    </row>
    <row r="38" spans="1:12" ht="15">
      <c r="A38" s="152"/>
      <c r="B38" s="153"/>
      <c r="C38" s="153"/>
      <c r="D38" s="153"/>
      <c r="F38" s="153"/>
      <c r="G38" s="153"/>
      <c r="H38" s="133"/>
      <c r="J38" s="230">
        <f>(J32+J35)/4</f>
        <v>66416</v>
      </c>
      <c r="K38" s="230">
        <f>(K32+K35)/4</f>
        <v>132834</v>
      </c>
      <c r="L38" s="230">
        <f>(L32+L35)/4</f>
        <v>199250</v>
      </c>
    </row>
    <row r="39" spans="1:12" ht="15">
      <c r="A39" s="152"/>
      <c r="B39" s="153"/>
      <c r="C39" s="153"/>
      <c r="D39" s="153"/>
      <c r="F39" s="153"/>
      <c r="G39" s="153"/>
      <c r="H39" s="133"/>
      <c r="J39" s="230"/>
      <c r="K39" s="230"/>
      <c r="L39" s="230"/>
    </row>
    <row r="40" spans="1:12" ht="15">
      <c r="A40" s="154" t="s">
        <v>960</v>
      </c>
      <c r="B40" s="161" t="s">
        <v>354</v>
      </c>
      <c r="C40" s="161" t="s">
        <v>961</v>
      </c>
      <c r="D40" s="161" t="s">
        <v>340</v>
      </c>
      <c r="F40" s="161" t="s">
        <v>354</v>
      </c>
      <c r="G40" s="161" t="s">
        <v>961</v>
      </c>
      <c r="H40" s="162" t="s">
        <v>340</v>
      </c>
      <c r="J40" s="233" t="s">
        <v>354</v>
      </c>
      <c r="K40" s="233" t="s">
        <v>961</v>
      </c>
      <c r="L40" s="233" t="s">
        <v>340</v>
      </c>
    </row>
    <row r="41" spans="1:12" ht="15">
      <c r="A41" s="127" t="s">
        <v>946</v>
      </c>
      <c r="B41" s="139">
        <v>3733333</v>
      </c>
      <c r="C41" s="139">
        <v>0</v>
      </c>
      <c r="D41" s="8">
        <f>B41+C41</f>
        <v>3733333</v>
      </c>
      <c r="F41" s="140">
        <v>2240000</v>
      </c>
      <c r="G41" s="140">
        <v>0</v>
      </c>
      <c r="H41" s="140">
        <f>F41+G41</f>
        <v>2240000</v>
      </c>
      <c r="J41" s="129">
        <v>3733333</v>
      </c>
      <c r="K41" s="129">
        <v>0</v>
      </c>
      <c r="L41" s="129">
        <f>J41+K41</f>
        <v>3733333</v>
      </c>
    </row>
    <row r="42" spans="1:12" ht="15">
      <c r="A42" s="127" t="s">
        <v>947</v>
      </c>
      <c r="B42" s="139">
        <v>13333333</v>
      </c>
      <c r="C42" s="139">
        <v>0</v>
      </c>
      <c r="D42" s="8">
        <f>B42+C42</f>
        <v>13333333</v>
      </c>
      <c r="F42" s="140">
        <v>11200000</v>
      </c>
      <c r="G42" s="140">
        <v>0</v>
      </c>
      <c r="H42" s="140">
        <f>F42+G42</f>
        <v>11200000</v>
      </c>
      <c r="J42" s="129">
        <v>13333333</v>
      </c>
      <c r="K42" s="129">
        <v>0</v>
      </c>
      <c r="L42" s="129">
        <f>J42+K42</f>
        <v>13333333</v>
      </c>
    </row>
    <row r="43" spans="1:12" ht="15">
      <c r="A43" s="127" t="s">
        <v>948</v>
      </c>
      <c r="B43" s="139">
        <v>0</v>
      </c>
      <c r="C43" s="139">
        <v>22666667</v>
      </c>
      <c r="D43" s="8">
        <f>B43+C43</f>
        <v>22666667</v>
      </c>
      <c r="F43" s="140">
        <v>0</v>
      </c>
      <c r="G43" s="140">
        <v>18773333</v>
      </c>
      <c r="H43" s="140">
        <f>F43+G43</f>
        <v>18773333</v>
      </c>
      <c r="J43" s="129">
        <v>0</v>
      </c>
      <c r="K43" s="129">
        <v>22666667</v>
      </c>
      <c r="L43" s="129">
        <f>J43+K43</f>
        <v>22666667</v>
      </c>
    </row>
    <row r="44" spans="1:12" ht="15">
      <c r="A44" s="127" t="s">
        <v>949</v>
      </c>
      <c r="B44" s="139">
        <v>0</v>
      </c>
      <c r="C44" s="139">
        <v>10666667</v>
      </c>
      <c r="D44" s="8">
        <f>B44+C44</f>
        <v>10666667</v>
      </c>
      <c r="F44" s="140">
        <v>0</v>
      </c>
      <c r="G44" s="140">
        <v>6186667</v>
      </c>
      <c r="H44" s="140">
        <f>F44+G44</f>
        <v>6186667</v>
      </c>
      <c r="J44" s="129">
        <v>0</v>
      </c>
      <c r="K44" s="129">
        <v>10666667</v>
      </c>
      <c r="L44" s="129">
        <f>J44+K44</f>
        <v>10666667</v>
      </c>
    </row>
    <row r="45" spans="1:12" s="183" customFormat="1" ht="15">
      <c r="A45" s="181" t="s">
        <v>340</v>
      </c>
      <c r="B45" s="182">
        <f>SUM(B41:B44)</f>
        <v>17066666</v>
      </c>
      <c r="C45" s="182">
        <f>SUM(C41:C44)</f>
        <v>33333334</v>
      </c>
      <c r="D45" s="182">
        <f>B45+C45</f>
        <v>50400000</v>
      </c>
      <c r="F45" s="182">
        <f>SUM(F41:F44)</f>
        <v>13440000</v>
      </c>
      <c r="G45" s="182">
        <f>SUM(G41:G44)</f>
        <v>24960000</v>
      </c>
      <c r="H45" s="182">
        <f>F45+G45</f>
        <v>38400000</v>
      </c>
      <c r="J45" s="182">
        <f>SUM(J41:J44)</f>
        <v>17066666</v>
      </c>
      <c r="K45" s="182">
        <f>SUM(K41:K44)</f>
        <v>33333334</v>
      </c>
      <c r="L45" s="182">
        <f>J45+K45</f>
        <v>50400000</v>
      </c>
    </row>
    <row r="46" spans="1:12" s="148" customFormat="1" ht="15">
      <c r="A46" s="154" t="s">
        <v>962</v>
      </c>
      <c r="B46" s="155"/>
      <c r="C46" s="155"/>
      <c r="D46" s="155"/>
      <c r="F46" s="155"/>
      <c r="G46" s="155"/>
      <c r="H46" s="132"/>
      <c r="J46" s="231"/>
      <c r="K46" s="231"/>
      <c r="L46" s="231"/>
    </row>
    <row r="47" spans="1:12" s="148" customFormat="1" ht="15">
      <c r="A47" s="127" t="s">
        <v>946</v>
      </c>
      <c r="B47" s="139">
        <v>1800000</v>
      </c>
      <c r="C47" s="139">
        <v>0</v>
      </c>
      <c r="D47" s="8">
        <f>B47+C47</f>
        <v>1800000</v>
      </c>
      <c r="F47" s="140">
        <v>1493333</v>
      </c>
      <c r="G47" s="140">
        <v>0</v>
      </c>
      <c r="H47" s="140">
        <f>F47+G47</f>
        <v>1493333</v>
      </c>
      <c r="J47" s="129">
        <v>1400000</v>
      </c>
      <c r="K47" s="129">
        <v>0</v>
      </c>
      <c r="L47" s="129">
        <f>J47+K47</f>
        <v>1400000</v>
      </c>
    </row>
    <row r="48" spans="1:12" s="148" customFormat="1" ht="15">
      <c r="A48" s="127" t="s">
        <v>947</v>
      </c>
      <c r="B48" s="139">
        <v>6666667</v>
      </c>
      <c r="C48" s="139">
        <v>0</v>
      </c>
      <c r="D48" s="8">
        <f>B48+C48</f>
        <v>6666667</v>
      </c>
      <c r="F48" s="140">
        <v>5333333</v>
      </c>
      <c r="G48" s="140">
        <v>0</v>
      </c>
      <c r="H48" s="140">
        <f>F48+G48</f>
        <v>5333333</v>
      </c>
      <c r="J48" s="129">
        <v>6466667</v>
      </c>
      <c r="K48" s="129">
        <v>0</v>
      </c>
      <c r="L48" s="129">
        <f>J48+K48</f>
        <v>6466667</v>
      </c>
    </row>
    <row r="49" spans="1:12" s="148" customFormat="1" ht="15">
      <c r="A49" s="127" t="s">
        <v>948</v>
      </c>
      <c r="B49" s="139">
        <v>0</v>
      </c>
      <c r="C49" s="139">
        <v>11200000</v>
      </c>
      <c r="D49" s="8">
        <f>B49+C49</f>
        <v>11200000</v>
      </c>
      <c r="F49" s="140">
        <v>0</v>
      </c>
      <c r="G49" s="140">
        <v>9066667</v>
      </c>
      <c r="H49" s="140">
        <f>F49+G49</f>
        <v>9066667</v>
      </c>
      <c r="J49" s="129">
        <v>0</v>
      </c>
      <c r="K49" s="129">
        <v>11466667</v>
      </c>
      <c r="L49" s="129">
        <f>J49+K49</f>
        <v>11466667</v>
      </c>
    </row>
    <row r="50" spans="1:12" s="148" customFormat="1" ht="15">
      <c r="A50" s="127" t="s">
        <v>949</v>
      </c>
      <c r="B50" s="139">
        <v>0</v>
      </c>
      <c r="C50" s="139">
        <v>4600000</v>
      </c>
      <c r="D50" s="8">
        <f>B50+C50</f>
        <v>4600000</v>
      </c>
      <c r="F50" s="140">
        <v>0</v>
      </c>
      <c r="G50" s="140">
        <v>3893333</v>
      </c>
      <c r="H50" s="140">
        <f>F50+G50</f>
        <v>3893333</v>
      </c>
      <c r="J50" s="129">
        <v>0</v>
      </c>
      <c r="K50" s="129">
        <v>4000000</v>
      </c>
      <c r="L50" s="129">
        <f>J50+K50</f>
        <v>4000000</v>
      </c>
    </row>
    <row r="51" spans="1:12" s="183" customFormat="1" ht="15">
      <c r="A51" s="181" t="s">
        <v>340</v>
      </c>
      <c r="B51" s="182">
        <f>SUM(B47:B50)</f>
        <v>8466667</v>
      </c>
      <c r="C51" s="182">
        <f>SUM(C47:C50)</f>
        <v>15800000</v>
      </c>
      <c r="D51" s="182">
        <f>B51+C51</f>
        <v>24266667</v>
      </c>
      <c r="F51" s="182">
        <f>SUM(F47:F50)</f>
        <v>6826666</v>
      </c>
      <c r="G51" s="182">
        <f>SUM(G47:G50)</f>
        <v>12960000</v>
      </c>
      <c r="H51" s="182">
        <f>F51+G51</f>
        <v>19786666</v>
      </c>
      <c r="J51" s="182">
        <f>SUM(J47:J50)</f>
        <v>7866667</v>
      </c>
      <c r="K51" s="182">
        <f>SUM(K47:K50)</f>
        <v>15466667</v>
      </c>
      <c r="L51" s="182">
        <f>J51+K51</f>
        <v>23333334</v>
      </c>
    </row>
    <row r="52" spans="1:12" s="148" customFormat="1" ht="15">
      <c r="A52" s="158" t="s">
        <v>963</v>
      </c>
      <c r="B52" s="159">
        <f>B51+B45</f>
        <v>25533333</v>
      </c>
      <c r="C52" s="159">
        <f>C51+C45</f>
        <v>49133334</v>
      </c>
      <c r="D52" s="159">
        <f>D51+D45</f>
        <v>74666667</v>
      </c>
      <c r="F52" s="159">
        <f>F51+F45</f>
        <v>20266666</v>
      </c>
      <c r="G52" s="159">
        <f>G51+G45</f>
        <v>37920000</v>
      </c>
      <c r="H52" s="160">
        <f>H51+H45</f>
        <v>58186666</v>
      </c>
      <c r="J52" s="232">
        <f>J51+J45</f>
        <v>24933333</v>
      </c>
      <c r="K52" s="232">
        <f>K51+K45</f>
        <v>48800001</v>
      </c>
      <c r="L52" s="232">
        <f>L51+L45</f>
        <v>73733334</v>
      </c>
    </row>
    <row r="53" spans="1:12" s="148" customFormat="1" ht="15">
      <c r="A53" s="163"/>
      <c r="B53" s="164"/>
      <c r="C53" s="164"/>
      <c r="D53" s="164"/>
      <c r="F53" s="164"/>
      <c r="G53" s="164"/>
      <c r="H53" s="130"/>
      <c r="J53" s="225">
        <f>J51/4</f>
        <v>1966666.75</v>
      </c>
      <c r="K53" s="225">
        <f>K51/4</f>
        <v>3866666.75</v>
      </c>
      <c r="L53" s="225">
        <f>L51/4</f>
        <v>5833333.5</v>
      </c>
    </row>
    <row r="54" spans="1:12" ht="15">
      <c r="A54" s="154" t="s">
        <v>964</v>
      </c>
      <c r="B54" s="155"/>
      <c r="C54" s="155"/>
      <c r="D54" s="155"/>
      <c r="F54" s="155"/>
      <c r="G54" s="155"/>
      <c r="H54" s="132"/>
      <c r="J54" s="231"/>
      <c r="K54" s="231"/>
      <c r="L54" s="231"/>
    </row>
    <row r="55" spans="1:12" ht="15">
      <c r="A55" s="127" t="s">
        <v>965</v>
      </c>
      <c r="B55" s="139">
        <f>374880+187440</f>
        <v>562320</v>
      </c>
      <c r="C55" s="8">
        <v>0</v>
      </c>
      <c r="D55" s="139">
        <f>B55+C55</f>
        <v>562320</v>
      </c>
      <c r="F55" s="140">
        <v>562888</v>
      </c>
      <c r="G55" s="140">
        <v>0</v>
      </c>
      <c r="H55" s="140">
        <f>F55+G55</f>
        <v>562888</v>
      </c>
      <c r="J55" s="129">
        <f>342696+171344</f>
        <v>514040</v>
      </c>
      <c r="K55" s="129">
        <v>0</v>
      </c>
      <c r="L55" s="129">
        <f>J55+K55</f>
        <v>514040</v>
      </c>
    </row>
    <row r="56" spans="1:12" ht="15">
      <c r="A56" s="127" t="s">
        <v>966</v>
      </c>
      <c r="B56" s="139">
        <f>3673336+1836664</f>
        <v>5510000</v>
      </c>
      <c r="C56" s="8">
        <v>0</v>
      </c>
      <c r="D56" s="139">
        <f>B56+C56</f>
        <v>5510000</v>
      </c>
      <c r="F56" s="140">
        <v>4732800</v>
      </c>
      <c r="G56" s="140">
        <v>0</v>
      </c>
      <c r="H56" s="140">
        <f>F56+G56</f>
        <v>4732800</v>
      </c>
      <c r="J56" s="129">
        <f>3660664+1830336</f>
        <v>5491000</v>
      </c>
      <c r="K56" s="129">
        <v>0</v>
      </c>
      <c r="L56" s="129">
        <f>J56+K56</f>
        <v>5491000</v>
      </c>
    </row>
    <row r="57" spans="1:13" ht="15">
      <c r="A57" s="158" t="s">
        <v>967</v>
      </c>
      <c r="B57" s="159">
        <f>SUM(B55:B56)</f>
        <v>6072320</v>
      </c>
      <c r="C57" s="159">
        <f>SUM(C55:C56)</f>
        <v>0</v>
      </c>
      <c r="D57" s="159">
        <f>B57+C57</f>
        <v>6072320</v>
      </c>
      <c r="F57" s="165">
        <f>SUM(F55:F56)</f>
        <v>5295688</v>
      </c>
      <c r="G57" s="165">
        <f>SUM(G55:G56)</f>
        <v>0</v>
      </c>
      <c r="H57" s="165">
        <f>F57+G57</f>
        <v>5295688</v>
      </c>
      <c r="J57" s="160">
        <f>SUM(J55:J56)</f>
        <v>6005040</v>
      </c>
      <c r="K57" s="160">
        <f>SUM(K55:K56)</f>
        <v>0</v>
      </c>
      <c r="L57" s="160">
        <f>J57+K57</f>
        <v>6005040</v>
      </c>
      <c r="M57" s="2"/>
    </row>
    <row r="58" spans="1:12" ht="15">
      <c r="A58" s="166"/>
      <c r="B58" s="167"/>
      <c r="C58" s="167"/>
      <c r="D58" s="167"/>
      <c r="F58" s="167"/>
      <c r="G58" s="167"/>
      <c r="H58" s="134"/>
      <c r="J58" s="234">
        <f>(171344+1830336)/4</f>
        <v>500420</v>
      </c>
      <c r="K58" s="234"/>
      <c r="L58" s="234">
        <f>(171344+1830336)/4</f>
        <v>500420</v>
      </c>
    </row>
    <row r="59" spans="1:12" ht="15">
      <c r="A59" s="146" t="s">
        <v>968</v>
      </c>
      <c r="B59" s="155"/>
      <c r="C59" s="155"/>
      <c r="D59" s="155"/>
      <c r="F59" s="155"/>
      <c r="G59" s="155"/>
      <c r="H59" s="132"/>
      <c r="J59" s="231"/>
      <c r="K59" s="231"/>
      <c r="L59" s="231"/>
    </row>
    <row r="60" spans="1:12" ht="15">
      <c r="A60" s="168" t="s">
        <v>969</v>
      </c>
      <c r="B60" s="147"/>
      <c r="C60" s="147"/>
      <c r="D60" s="129">
        <f>B60+C60</f>
        <v>0</v>
      </c>
      <c r="F60" s="147"/>
      <c r="G60" s="147"/>
      <c r="H60" s="129">
        <f>F60+G60</f>
        <v>0</v>
      </c>
      <c r="J60" s="228"/>
      <c r="K60" s="228"/>
      <c r="L60" s="228">
        <f>J60+K60</f>
        <v>0</v>
      </c>
    </row>
    <row r="61" spans="1:12" ht="15">
      <c r="A61" s="169" t="s">
        <v>970</v>
      </c>
      <c r="B61" s="147">
        <v>396000</v>
      </c>
      <c r="C61" s="147"/>
      <c r="D61" s="129">
        <f>B61+C61</f>
        <v>396000</v>
      </c>
      <c r="F61" s="140">
        <v>396000</v>
      </c>
      <c r="G61" s="140"/>
      <c r="H61" s="140">
        <f>F61+G61</f>
        <v>396000</v>
      </c>
      <c r="J61" s="129">
        <v>396000</v>
      </c>
      <c r="K61" s="129"/>
      <c r="L61" s="129">
        <f>J61+K61</f>
        <v>396000</v>
      </c>
    </row>
    <row r="62" spans="1:12" ht="15">
      <c r="A62" s="169" t="s">
        <v>971</v>
      </c>
      <c r="B62" s="147">
        <v>480000</v>
      </c>
      <c r="C62" s="147"/>
      <c r="D62" s="129">
        <f>B62+C62</f>
        <v>480000</v>
      </c>
      <c r="F62" s="140">
        <v>486000</v>
      </c>
      <c r="G62" s="140"/>
      <c r="H62" s="140">
        <f>F62+G62</f>
        <v>486000</v>
      </c>
      <c r="J62" s="129">
        <v>480000</v>
      </c>
      <c r="K62" s="129"/>
      <c r="L62" s="129">
        <f>J62+K62</f>
        <v>480000</v>
      </c>
    </row>
    <row r="63" spans="1:12" ht="15">
      <c r="A63" s="169" t="s">
        <v>972</v>
      </c>
      <c r="B63" s="147">
        <v>225000</v>
      </c>
      <c r="C63" s="147"/>
      <c r="D63" s="129">
        <f>B63+C63</f>
        <v>225000</v>
      </c>
      <c r="F63" s="140">
        <v>225000</v>
      </c>
      <c r="G63" s="140"/>
      <c r="H63" s="140">
        <f>F63+G63</f>
        <v>225000</v>
      </c>
      <c r="J63" s="129">
        <v>225000</v>
      </c>
      <c r="K63" s="129"/>
      <c r="L63" s="129">
        <f>J63+K63</f>
        <v>225000</v>
      </c>
    </row>
    <row r="64" spans="1:12" s="131" customFormat="1" ht="15">
      <c r="A64" s="184" t="s">
        <v>973</v>
      </c>
      <c r="B64" s="160">
        <f>SUM(B60:B63)</f>
        <v>1101000</v>
      </c>
      <c r="C64" s="160">
        <f>SUM(C60:C63)</f>
        <v>0</v>
      </c>
      <c r="D64" s="160">
        <f>B64+C64</f>
        <v>1101000</v>
      </c>
      <c r="F64" s="160">
        <f>SUM(F60:F63)</f>
        <v>1107000</v>
      </c>
      <c r="G64" s="160">
        <f>SUM(G60:G63)</f>
        <v>0</v>
      </c>
      <c r="H64" s="160">
        <f>F64+G64</f>
        <v>1107000</v>
      </c>
      <c r="J64" s="232">
        <f>SUM(J60:J63)</f>
        <v>1101000</v>
      </c>
      <c r="K64" s="232">
        <f>SUM(K60:K63)</f>
        <v>0</v>
      </c>
      <c r="L64" s="232">
        <f>J64+K64</f>
        <v>1101000</v>
      </c>
    </row>
    <row r="66" spans="1:13" ht="15">
      <c r="A66" s="170" t="s">
        <v>974</v>
      </c>
      <c r="B66" s="171">
        <f>B64+B57+B52+B36+B22</f>
        <v>110911470</v>
      </c>
      <c r="C66" s="171">
        <f>C64+C57+C52+C36+C22</f>
        <v>106939000</v>
      </c>
      <c r="D66" s="171">
        <f>D64+D57+D52+D36+D22</f>
        <v>217850470</v>
      </c>
      <c r="F66" s="171">
        <f>F64+F57+F52+F36+F22</f>
        <v>107533424</v>
      </c>
      <c r="G66" s="171">
        <f>G64+G57+G52+G36+G22</f>
        <v>95228500</v>
      </c>
      <c r="H66" s="172">
        <f>H64+H57+H52+H36+H22</f>
        <v>202761924</v>
      </c>
      <c r="J66" s="235">
        <f>J64+J57+J52+J36+J22</f>
        <v>108907023</v>
      </c>
      <c r="K66" s="235">
        <f>K64+K57+K52+K36+K22</f>
        <v>106280668</v>
      </c>
      <c r="L66" s="235">
        <f>L64+L57+L52+L36+L22</f>
        <v>215187691</v>
      </c>
      <c r="M66" s="2">
        <f>L66-D66</f>
        <v>-2662779</v>
      </c>
    </row>
    <row r="67" spans="1:13" ht="15">
      <c r="A67" s="1" t="s">
        <v>975</v>
      </c>
      <c r="B67" s="2">
        <f>72926423</f>
        <v>72926423</v>
      </c>
      <c r="E67" s="173" t="s">
        <v>976</v>
      </c>
      <c r="F67" s="2">
        <f>'[1]2017 MÁK támogatás EREDETI'!R74</f>
        <v>107533424</v>
      </c>
      <c r="G67" s="2">
        <f>'[1]2017 MÁK támogatás EREDETI'!R108</f>
        <v>93425878</v>
      </c>
      <c r="H67" s="130">
        <f>SUM(F67:G67)</f>
        <v>200959302</v>
      </c>
      <c r="J67" s="225">
        <f>J66/12</f>
        <v>9075585.25</v>
      </c>
      <c r="K67" s="225">
        <f>K66/12</f>
        <v>8856722.333333334</v>
      </c>
      <c r="L67" s="225">
        <f>SUM(J67:K67)</f>
        <v>17932307.583333336</v>
      </c>
      <c r="M67" s="2"/>
    </row>
    <row r="68" spans="1:5" ht="15" hidden="1">
      <c r="A68" s="1" t="s">
        <v>977</v>
      </c>
      <c r="B68" s="2">
        <f>'[1]2018 évi támog. elszámolás'!F217</f>
        <v>68539340</v>
      </c>
      <c r="E68" s="2"/>
    </row>
    <row r="69" spans="1:12" ht="15" hidden="1">
      <c r="A69" s="3" t="s">
        <v>978</v>
      </c>
      <c r="B69" s="153">
        <f>B67-B68</f>
        <v>4387083</v>
      </c>
      <c r="C69" s="153">
        <f>C67-C68</f>
        <v>0</v>
      </c>
      <c r="D69" s="2">
        <f>C69*4</f>
        <v>0</v>
      </c>
      <c r="E69" s="3" t="s">
        <v>978</v>
      </c>
      <c r="F69" s="153">
        <f>F66-F67</f>
        <v>0</v>
      </c>
      <c r="G69" s="153">
        <f>G66-G67</f>
        <v>1802622</v>
      </c>
      <c r="H69" s="153">
        <f>H66-H67</f>
        <v>1802622</v>
      </c>
      <c r="J69" s="230">
        <f>J66-J67</f>
        <v>99831437.75</v>
      </c>
      <c r="K69" s="230">
        <f>K66-K67</f>
        <v>97423945.66666667</v>
      </c>
      <c r="L69" s="230">
        <f>L66-L67</f>
        <v>197255383.41666666</v>
      </c>
    </row>
    <row r="70" spans="1:12" ht="15" hidden="1">
      <c r="A70" s="1" t="s">
        <v>979</v>
      </c>
      <c r="B70" s="2">
        <v>18248210</v>
      </c>
      <c r="E70" s="2"/>
      <c r="F70" s="2">
        <v>18248210</v>
      </c>
      <c r="H70" s="130">
        <v>18248210</v>
      </c>
      <c r="L70" s="225">
        <v>0</v>
      </c>
    </row>
    <row r="71" spans="1:12" ht="15" hidden="1">
      <c r="A71" s="3" t="s">
        <v>980</v>
      </c>
      <c r="B71" s="153">
        <f>B69+B70</f>
        <v>22635293</v>
      </c>
      <c r="E71" s="2"/>
      <c r="F71" s="153">
        <f>F69+F70</f>
        <v>18248210</v>
      </c>
      <c r="G71" s="153">
        <f>G69+G70</f>
        <v>1802622</v>
      </c>
      <c r="H71" s="153">
        <f>H69+H70</f>
        <v>20050832</v>
      </c>
      <c r="J71" s="230">
        <f>J69+J70</f>
        <v>99831437.75</v>
      </c>
      <c r="K71" s="230">
        <f>K69+K70</f>
        <v>97423945.66666667</v>
      </c>
      <c r="L71" s="230">
        <f>L69+L70</f>
        <v>197255383.41666666</v>
      </c>
    </row>
    <row r="72" spans="2:8" ht="15">
      <c r="B72" s="174"/>
      <c r="C72" s="174"/>
      <c r="H72" s="2"/>
    </row>
    <row r="73" spans="2:12" ht="15">
      <c r="B73" s="174"/>
      <c r="C73" s="174"/>
      <c r="D73" s="174"/>
      <c r="J73" s="225">
        <f>J23+J38+J53+J58</f>
        <v>8605819.375</v>
      </c>
      <c r="K73" s="225">
        <f>K23+K38+K53</f>
        <v>8447250.875</v>
      </c>
      <c r="L73" s="225">
        <f>L23+L38+L53+L58</f>
        <v>17053070.25</v>
      </c>
    </row>
    <row r="74" spans="10:12" ht="15">
      <c r="J74" s="225">
        <f>J67-J73</f>
        <v>469765.875</v>
      </c>
      <c r="K74" s="225">
        <f>K67-K73</f>
        <v>409471.45833333395</v>
      </c>
      <c r="L74" s="225">
        <f>SUM(J74:K74)</f>
        <v>879237.333333334</v>
      </c>
    </row>
    <row r="76" spans="10:12" ht="15">
      <c r="J76" s="225">
        <f>J73*12+J64</f>
        <v>104370832.5</v>
      </c>
      <c r="K76" s="225">
        <f>K73*12</f>
        <v>101367010.5</v>
      </c>
      <c r="L76" s="225">
        <f>J76+K76</f>
        <v>205737843</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5:L49"/>
  <sheetViews>
    <sheetView zoomScalePageLayoutView="0" workbookViewId="0" topLeftCell="A1">
      <selection activeCell="H29" sqref="H29"/>
    </sheetView>
  </sheetViews>
  <sheetFormatPr defaultColWidth="9.140625" defaultRowHeight="15"/>
  <cols>
    <col min="1" max="1" width="2.140625" style="1" customWidth="1"/>
    <col min="2" max="12" width="13.28125" style="1" customWidth="1"/>
    <col min="13" max="16384" width="9.140625" style="1" customWidth="1"/>
  </cols>
  <sheetData>
    <row r="5" spans="2:12" ht="15">
      <c r="B5" s="730" t="s">
        <v>981</v>
      </c>
      <c r="C5" s="731"/>
      <c r="D5" s="731"/>
      <c r="E5" s="731"/>
      <c r="F5" s="731"/>
      <c r="G5" s="731"/>
      <c r="H5" s="731"/>
      <c r="I5" s="731"/>
      <c r="J5" s="731"/>
      <c r="K5" s="731"/>
      <c r="L5" s="731"/>
    </row>
    <row r="6" spans="2:12" ht="31.5" customHeight="1">
      <c r="B6" s="732" t="s">
        <v>982</v>
      </c>
      <c r="C6" s="732"/>
      <c r="D6" s="732"/>
      <c r="E6" s="732"/>
      <c r="F6" s="732"/>
      <c r="G6" s="732"/>
      <c r="H6" s="732"/>
      <c r="I6" s="732"/>
      <c r="J6" s="732"/>
      <c r="K6" s="732"/>
      <c r="L6" s="732"/>
    </row>
    <row r="7" spans="2:12" ht="15.75" customHeight="1">
      <c r="B7" s="732" t="s">
        <v>983</v>
      </c>
      <c r="C7" s="732"/>
      <c r="D7" s="732"/>
      <c r="E7" s="732"/>
      <c r="F7" s="732"/>
      <c r="G7" s="732"/>
      <c r="H7" s="732"/>
      <c r="I7" s="732"/>
      <c r="J7" s="732"/>
      <c r="K7" s="732"/>
      <c r="L7" s="732"/>
    </row>
    <row r="8" spans="2:12" ht="15.75" customHeight="1">
      <c r="B8" s="732" t="s">
        <v>984</v>
      </c>
      <c r="C8" s="732"/>
      <c r="D8" s="732"/>
      <c r="E8" s="732"/>
      <c r="F8" s="732"/>
      <c r="G8" s="732"/>
      <c r="H8" s="732"/>
      <c r="I8" s="732"/>
      <c r="J8" s="732"/>
      <c r="K8" s="732"/>
      <c r="L8" s="732"/>
    </row>
    <row r="9" spans="2:12" ht="16.5" thickBot="1">
      <c r="B9" s="175"/>
      <c r="C9" s="175"/>
      <c r="D9" s="175"/>
      <c r="E9" s="175"/>
      <c r="F9" s="175"/>
      <c r="G9" s="175"/>
      <c r="H9" s="175"/>
      <c r="I9" s="175"/>
      <c r="J9" s="175"/>
      <c r="K9" s="175"/>
      <c r="L9" s="175"/>
    </row>
    <row r="10" spans="2:12" ht="16.5" thickBot="1">
      <c r="B10" s="176" t="s">
        <v>985</v>
      </c>
      <c r="C10" s="733" t="s">
        <v>986</v>
      </c>
      <c r="D10" s="734"/>
      <c r="E10" s="734"/>
      <c r="F10" s="734"/>
      <c r="G10" s="734"/>
      <c r="H10" s="734"/>
      <c r="I10" s="734"/>
      <c r="J10" s="734"/>
      <c r="K10" s="734"/>
      <c r="L10" s="735"/>
    </row>
    <row r="11" spans="2:12" ht="16.5" thickBot="1">
      <c r="B11" s="177" t="s">
        <v>987</v>
      </c>
      <c r="C11" s="178" t="s">
        <v>988</v>
      </c>
      <c r="D11" s="178" t="s">
        <v>989</v>
      </c>
      <c r="E11" s="178" t="s">
        <v>990</v>
      </c>
      <c r="F11" s="178" t="s">
        <v>991</v>
      </c>
      <c r="G11" s="178" t="s">
        <v>992</v>
      </c>
      <c r="H11" s="178" t="s">
        <v>993</v>
      </c>
      <c r="I11" s="178" t="s">
        <v>994</v>
      </c>
      <c r="J11" s="178" t="s">
        <v>995</v>
      </c>
      <c r="K11" s="178" t="s">
        <v>996</v>
      </c>
      <c r="L11" s="178" t="s">
        <v>997</v>
      </c>
    </row>
    <row r="12" spans="2:12" ht="16.5" thickBot="1">
      <c r="B12" s="178" t="s">
        <v>341</v>
      </c>
      <c r="C12" s="179">
        <v>69000</v>
      </c>
      <c r="D12" s="179">
        <v>77000</v>
      </c>
      <c r="E12" s="179">
        <v>78000</v>
      </c>
      <c r="F12" s="179">
        <v>79000</v>
      </c>
      <c r="G12" s="179">
        <v>89000</v>
      </c>
      <c r="H12" s="179">
        <v>122000</v>
      </c>
      <c r="I12" s="179">
        <v>127000</v>
      </c>
      <c r="J12" s="179">
        <v>129500</v>
      </c>
      <c r="K12" s="179">
        <v>142000</v>
      </c>
      <c r="L12" s="179">
        <v>154500</v>
      </c>
    </row>
    <row r="13" spans="2:12" ht="16.5" thickBot="1">
      <c r="B13" s="178" t="s">
        <v>342</v>
      </c>
      <c r="C13" s="180">
        <v>1.0175</v>
      </c>
      <c r="D13" s="180">
        <v>1.0175</v>
      </c>
      <c r="E13" s="180">
        <v>1.02</v>
      </c>
      <c r="F13" s="180">
        <v>1.025</v>
      </c>
      <c r="G13" s="180">
        <v>1.0275</v>
      </c>
      <c r="H13" s="180">
        <v>1.035</v>
      </c>
      <c r="I13" s="180">
        <v>1.035</v>
      </c>
      <c r="J13" s="180">
        <v>1.05</v>
      </c>
      <c r="K13" s="180">
        <v>1.045</v>
      </c>
      <c r="L13" s="180">
        <v>1.06</v>
      </c>
    </row>
    <row r="14" spans="2:12" ht="16.5" thickBot="1">
      <c r="B14" s="178" t="s">
        <v>343</v>
      </c>
      <c r="C14" s="180">
        <v>1.035</v>
      </c>
      <c r="D14" s="180">
        <v>1.035</v>
      </c>
      <c r="E14" s="180">
        <v>1.04</v>
      </c>
      <c r="F14" s="180">
        <v>1.05</v>
      </c>
      <c r="G14" s="180">
        <v>1.055</v>
      </c>
      <c r="H14" s="180">
        <v>1.0725</v>
      </c>
      <c r="I14" s="180">
        <v>1.0725</v>
      </c>
      <c r="J14" s="180">
        <v>1.1</v>
      </c>
      <c r="K14" s="180">
        <v>1.1025</v>
      </c>
      <c r="L14" s="180">
        <v>1.135</v>
      </c>
    </row>
    <row r="15" spans="2:12" ht="16.5" thickBot="1">
      <c r="B15" s="178" t="s">
        <v>344</v>
      </c>
      <c r="C15" s="180">
        <v>1.0525</v>
      </c>
      <c r="D15" s="180">
        <v>1.0525</v>
      </c>
      <c r="E15" s="180">
        <v>1.065</v>
      </c>
      <c r="F15" s="180">
        <v>1.075</v>
      </c>
      <c r="G15" s="180">
        <v>1.09</v>
      </c>
      <c r="H15" s="180">
        <v>1.11</v>
      </c>
      <c r="I15" s="180">
        <v>1.11</v>
      </c>
      <c r="J15" s="180">
        <v>1.15</v>
      </c>
      <c r="K15" s="180">
        <v>1.1675</v>
      </c>
      <c r="L15" s="180">
        <v>1.21</v>
      </c>
    </row>
    <row r="16" spans="2:12" ht="16.5" thickBot="1">
      <c r="B16" s="178" t="s">
        <v>345</v>
      </c>
      <c r="C16" s="180">
        <v>1.07</v>
      </c>
      <c r="D16" s="180">
        <v>1.07</v>
      </c>
      <c r="E16" s="180">
        <v>1.09</v>
      </c>
      <c r="F16" s="180">
        <v>1.1</v>
      </c>
      <c r="G16" s="180">
        <v>1.125</v>
      </c>
      <c r="H16" s="180">
        <v>1.1475</v>
      </c>
      <c r="I16" s="180">
        <v>1.1475</v>
      </c>
      <c r="J16" s="180">
        <v>1.2</v>
      </c>
      <c r="K16" s="180">
        <v>1.2425</v>
      </c>
      <c r="L16" s="180">
        <v>1.285</v>
      </c>
    </row>
    <row r="17" spans="2:12" ht="16.5" thickBot="1">
      <c r="B17" s="178" t="s">
        <v>346</v>
      </c>
      <c r="C17" s="180">
        <v>1.0875</v>
      </c>
      <c r="D17" s="180">
        <v>1.0875</v>
      </c>
      <c r="E17" s="180">
        <v>1.1125</v>
      </c>
      <c r="F17" s="180">
        <v>1.125</v>
      </c>
      <c r="G17" s="180">
        <v>1.16</v>
      </c>
      <c r="H17" s="180">
        <v>1.185</v>
      </c>
      <c r="I17" s="180">
        <v>1.185</v>
      </c>
      <c r="J17" s="180">
        <v>1.26</v>
      </c>
      <c r="K17" s="180">
        <v>1.3175</v>
      </c>
      <c r="L17" s="180">
        <v>1.36</v>
      </c>
    </row>
    <row r="18" spans="2:12" ht="16.5" thickBot="1">
      <c r="B18" s="178" t="s">
        <v>347</v>
      </c>
      <c r="C18" s="180">
        <v>1.1075</v>
      </c>
      <c r="D18" s="180">
        <v>1.1075</v>
      </c>
      <c r="E18" s="180">
        <v>1.1375</v>
      </c>
      <c r="F18" s="180">
        <v>1.1525</v>
      </c>
      <c r="G18" s="180">
        <v>1.1975</v>
      </c>
      <c r="H18" s="180">
        <v>1.2225</v>
      </c>
      <c r="I18" s="180">
        <v>1.2225</v>
      </c>
      <c r="J18" s="180">
        <v>1.335</v>
      </c>
      <c r="K18" s="180">
        <v>1.3925</v>
      </c>
      <c r="L18" s="180">
        <v>1.42</v>
      </c>
    </row>
    <row r="19" spans="2:12" ht="16.5" thickBot="1">
      <c r="B19" s="178" t="s">
        <v>348</v>
      </c>
      <c r="C19" s="180">
        <v>1.1275</v>
      </c>
      <c r="D19" s="180">
        <v>1.14</v>
      </c>
      <c r="E19" s="180">
        <v>1.1625</v>
      </c>
      <c r="F19" s="180">
        <v>1.1875</v>
      </c>
      <c r="G19" s="180">
        <v>1.235</v>
      </c>
      <c r="H19" s="180">
        <v>1.265</v>
      </c>
      <c r="I19" s="180">
        <v>1.2725</v>
      </c>
      <c r="J19" s="180">
        <v>1.41</v>
      </c>
      <c r="K19" s="180">
        <v>1.4675</v>
      </c>
      <c r="L19" s="180">
        <v>1.4825</v>
      </c>
    </row>
    <row r="20" spans="2:12" ht="16.5" thickBot="1">
      <c r="B20" s="178" t="s">
        <v>349</v>
      </c>
      <c r="C20" s="180">
        <v>1.15</v>
      </c>
      <c r="D20" s="180">
        <v>1.1725</v>
      </c>
      <c r="E20" s="180">
        <v>1.195</v>
      </c>
      <c r="F20" s="180">
        <v>1.225</v>
      </c>
      <c r="G20" s="180">
        <v>1.2725</v>
      </c>
      <c r="H20" s="180">
        <v>1.3075</v>
      </c>
      <c r="I20" s="180">
        <v>1.3325</v>
      </c>
      <c r="J20" s="180">
        <v>1.485</v>
      </c>
      <c r="K20" s="180">
        <v>1.5275</v>
      </c>
      <c r="L20" s="180">
        <v>1.545</v>
      </c>
    </row>
    <row r="21" spans="2:12" ht="16.5" thickBot="1">
      <c r="B21" s="178" t="s">
        <v>350</v>
      </c>
      <c r="C21" s="180">
        <v>1.1725</v>
      </c>
      <c r="D21" s="180">
        <v>1.2075</v>
      </c>
      <c r="E21" s="180">
        <v>1.23</v>
      </c>
      <c r="F21" s="180">
        <v>1.2625</v>
      </c>
      <c r="G21" s="180">
        <v>1.31</v>
      </c>
      <c r="H21" s="180">
        <v>1.3675</v>
      </c>
      <c r="I21" s="180">
        <v>1.395</v>
      </c>
      <c r="J21" s="180">
        <v>1.56</v>
      </c>
      <c r="K21" s="180">
        <v>1.5875</v>
      </c>
      <c r="L21" s="180">
        <v>1.6075</v>
      </c>
    </row>
    <row r="22" spans="2:12" ht="16.5" thickBot="1">
      <c r="B22" s="178" t="s">
        <v>351</v>
      </c>
      <c r="C22" s="180">
        <v>1.195</v>
      </c>
      <c r="D22" s="180">
        <v>1.2425</v>
      </c>
      <c r="E22" s="180">
        <v>1.2675</v>
      </c>
      <c r="F22" s="180">
        <v>1.3</v>
      </c>
      <c r="G22" s="180">
        <v>1.3475</v>
      </c>
      <c r="H22" s="180">
        <v>1.4275</v>
      </c>
      <c r="I22" s="180">
        <v>1.4575</v>
      </c>
      <c r="J22" s="180">
        <v>1.625</v>
      </c>
      <c r="K22" s="180">
        <v>1.6475</v>
      </c>
      <c r="L22" s="180">
        <v>1.67</v>
      </c>
    </row>
    <row r="23" spans="2:12" ht="16.5" thickBot="1">
      <c r="B23" s="178" t="s">
        <v>352</v>
      </c>
      <c r="C23" s="180">
        <v>1.2175</v>
      </c>
      <c r="D23" s="180">
        <v>1.2775</v>
      </c>
      <c r="E23" s="180">
        <v>1.305</v>
      </c>
      <c r="F23" s="180">
        <v>1.3375</v>
      </c>
      <c r="G23" s="180">
        <v>1.3775</v>
      </c>
      <c r="H23" s="180">
        <v>1.4875</v>
      </c>
      <c r="I23" s="180">
        <v>1.52</v>
      </c>
      <c r="J23" s="180">
        <v>1.69</v>
      </c>
      <c r="K23" s="180">
        <v>1.7075</v>
      </c>
      <c r="L23" s="180">
        <v>1.7325</v>
      </c>
    </row>
    <row r="24" spans="2:12" ht="16.5" thickBot="1">
      <c r="B24" s="178" t="s">
        <v>353</v>
      </c>
      <c r="C24" s="180">
        <v>1.24</v>
      </c>
      <c r="D24" s="180">
        <v>1.3125</v>
      </c>
      <c r="E24" s="180">
        <v>1.3425</v>
      </c>
      <c r="F24" s="180">
        <v>1.375</v>
      </c>
      <c r="G24" s="180">
        <v>1.4075</v>
      </c>
      <c r="H24" s="180">
        <v>1.5475</v>
      </c>
      <c r="I24" s="180">
        <v>1.5825</v>
      </c>
      <c r="J24" s="180">
        <v>1.755</v>
      </c>
      <c r="K24" s="180">
        <v>1.7775</v>
      </c>
      <c r="L24" s="180">
        <v>1.8025</v>
      </c>
    </row>
    <row r="25" spans="2:12" ht="16.5" thickBot="1">
      <c r="B25" s="178" t="s">
        <v>998</v>
      </c>
      <c r="C25" s="180">
        <v>1.2625</v>
      </c>
      <c r="D25" s="180">
        <v>1.35</v>
      </c>
      <c r="E25" s="180">
        <v>1.38</v>
      </c>
      <c r="F25" s="180">
        <v>1.4125</v>
      </c>
      <c r="G25" s="180">
        <v>1.4425</v>
      </c>
      <c r="H25" s="180">
        <v>1.6075</v>
      </c>
      <c r="I25" s="180">
        <v>1.645</v>
      </c>
      <c r="J25" s="180">
        <v>1.82</v>
      </c>
      <c r="K25" s="180">
        <v>1.8475</v>
      </c>
      <c r="L25" s="180">
        <v>1.8725</v>
      </c>
    </row>
    <row r="26" spans="2:12" ht="16.5" thickBot="1">
      <c r="B26" s="178" t="s">
        <v>999</v>
      </c>
      <c r="C26" s="180">
        <v>1.285</v>
      </c>
      <c r="D26" s="180">
        <v>1.3875</v>
      </c>
      <c r="E26" s="180">
        <v>1.4175</v>
      </c>
      <c r="F26" s="180">
        <v>1.45</v>
      </c>
      <c r="G26" s="180">
        <v>1.4775</v>
      </c>
      <c r="H26" s="180">
        <v>1.6675</v>
      </c>
      <c r="I26" s="180">
        <v>1.7075</v>
      </c>
      <c r="J26" s="180">
        <v>1.885</v>
      </c>
      <c r="K26" s="180">
        <v>1.9175</v>
      </c>
      <c r="L26" s="180">
        <v>1.9425</v>
      </c>
    </row>
    <row r="27" spans="2:12" ht="16.5" thickBot="1">
      <c r="B27" s="178" t="s">
        <v>1000</v>
      </c>
      <c r="C27" s="180">
        <v>1.3075</v>
      </c>
      <c r="D27" s="180">
        <v>1.425</v>
      </c>
      <c r="E27" s="180">
        <v>1.455</v>
      </c>
      <c r="F27" s="180">
        <v>1.4875</v>
      </c>
      <c r="G27" s="180">
        <v>1.5125</v>
      </c>
      <c r="H27" s="180">
        <v>1.7275</v>
      </c>
      <c r="I27" s="180">
        <v>1.77</v>
      </c>
      <c r="J27" s="180">
        <v>1.95</v>
      </c>
      <c r="K27" s="180">
        <v>1.9875</v>
      </c>
      <c r="L27" s="180">
        <v>2.0125</v>
      </c>
    </row>
    <row r="28" spans="2:12" ht="16.5" thickBot="1">
      <c r="B28" s="178" t="s">
        <v>1001</v>
      </c>
      <c r="C28" s="180">
        <v>1.33</v>
      </c>
      <c r="D28" s="180">
        <v>1.4625</v>
      </c>
      <c r="E28" s="180">
        <v>1.4925</v>
      </c>
      <c r="F28" s="180">
        <v>1.525</v>
      </c>
      <c r="G28" s="180">
        <v>1.5475</v>
      </c>
      <c r="H28" s="180">
        <v>1.7875</v>
      </c>
      <c r="I28" s="180">
        <v>1.8325</v>
      </c>
      <c r="J28" s="180">
        <v>2.015</v>
      </c>
      <c r="K28" s="180">
        <v>2.0575</v>
      </c>
      <c r="L28" s="180">
        <v>2.0825</v>
      </c>
    </row>
    <row r="30" ht="15.75" thickBot="1"/>
    <row r="31" spans="2:12" ht="16.5" thickBot="1">
      <c r="B31" s="176" t="s">
        <v>985</v>
      </c>
      <c r="C31" s="733" t="s">
        <v>986</v>
      </c>
      <c r="D31" s="734"/>
      <c r="E31" s="734"/>
      <c r="F31" s="734"/>
      <c r="G31" s="734"/>
      <c r="H31" s="734"/>
      <c r="I31" s="734"/>
      <c r="J31" s="734"/>
      <c r="K31" s="734"/>
      <c r="L31" s="735"/>
    </row>
    <row r="32" spans="2:12" ht="16.5" thickBot="1">
      <c r="B32" s="177" t="s">
        <v>987</v>
      </c>
      <c r="C32" s="178" t="s">
        <v>988</v>
      </c>
      <c r="D32" s="178" t="s">
        <v>989</v>
      </c>
      <c r="E32" s="178" t="s">
        <v>990</v>
      </c>
      <c r="F32" s="178" t="s">
        <v>991</v>
      </c>
      <c r="G32" s="178" t="s">
        <v>992</v>
      </c>
      <c r="H32" s="178" t="s">
        <v>993</v>
      </c>
      <c r="I32" s="178" t="s">
        <v>994</v>
      </c>
      <c r="J32" s="178" t="s">
        <v>995</v>
      </c>
      <c r="K32" s="178" t="s">
        <v>996</v>
      </c>
      <c r="L32" s="178" t="s">
        <v>997</v>
      </c>
    </row>
    <row r="33" spans="2:12" ht="16.5" thickBot="1">
      <c r="B33" s="178" t="s">
        <v>341</v>
      </c>
      <c r="C33" s="179">
        <v>69000</v>
      </c>
      <c r="D33" s="179">
        <v>77000</v>
      </c>
      <c r="E33" s="179">
        <v>78000</v>
      </c>
      <c r="F33" s="179">
        <v>79000</v>
      </c>
      <c r="G33" s="179">
        <v>89000</v>
      </c>
      <c r="H33" s="179">
        <v>122000</v>
      </c>
      <c r="I33" s="179">
        <v>127000</v>
      </c>
      <c r="J33" s="179">
        <v>129500</v>
      </c>
      <c r="K33" s="179">
        <v>142000</v>
      </c>
      <c r="L33" s="179">
        <v>154500</v>
      </c>
    </row>
    <row r="34" spans="2:12" ht="16.5" thickBot="1">
      <c r="B34" s="178" t="s">
        <v>342</v>
      </c>
      <c r="C34" s="179">
        <f>C$12*C13</f>
        <v>70207.5</v>
      </c>
      <c r="D34" s="179">
        <f aca="true" t="shared" si="0" ref="D34:L34">D$12*D13</f>
        <v>78347.5</v>
      </c>
      <c r="E34" s="179">
        <f t="shared" si="0"/>
        <v>79560</v>
      </c>
      <c r="F34" s="179">
        <f t="shared" si="0"/>
        <v>80975</v>
      </c>
      <c r="G34" s="179">
        <f t="shared" si="0"/>
        <v>91447.5</v>
      </c>
      <c r="H34" s="179">
        <f t="shared" si="0"/>
        <v>126269.99999999999</v>
      </c>
      <c r="I34" s="179">
        <f t="shared" si="0"/>
        <v>131445</v>
      </c>
      <c r="J34" s="179">
        <f t="shared" si="0"/>
        <v>135975</v>
      </c>
      <c r="K34" s="179">
        <f t="shared" si="0"/>
        <v>148390</v>
      </c>
      <c r="L34" s="179">
        <f t="shared" si="0"/>
        <v>163770</v>
      </c>
    </row>
    <row r="35" spans="2:12" ht="16.5" thickBot="1">
      <c r="B35" s="178" t="s">
        <v>343</v>
      </c>
      <c r="C35" s="179">
        <f aca="true" t="shared" si="1" ref="C35:L49">C$12*C14</f>
        <v>71415</v>
      </c>
      <c r="D35" s="179">
        <f t="shared" si="1"/>
        <v>79695</v>
      </c>
      <c r="E35" s="179">
        <f t="shared" si="1"/>
        <v>81120</v>
      </c>
      <c r="F35" s="179">
        <f t="shared" si="1"/>
        <v>82950</v>
      </c>
      <c r="G35" s="179">
        <f t="shared" si="1"/>
        <v>93895</v>
      </c>
      <c r="H35" s="179">
        <f t="shared" si="1"/>
        <v>130845</v>
      </c>
      <c r="I35" s="179">
        <f t="shared" si="1"/>
        <v>136207.5</v>
      </c>
      <c r="J35" s="179">
        <f t="shared" si="1"/>
        <v>142450</v>
      </c>
      <c r="K35" s="179">
        <f t="shared" si="1"/>
        <v>156555</v>
      </c>
      <c r="L35" s="179">
        <f t="shared" si="1"/>
        <v>175357.5</v>
      </c>
    </row>
    <row r="36" spans="2:12" ht="16.5" thickBot="1">
      <c r="B36" s="178" t="s">
        <v>344</v>
      </c>
      <c r="C36" s="179">
        <f t="shared" si="1"/>
        <v>72622.5</v>
      </c>
      <c r="D36" s="179">
        <f t="shared" si="1"/>
        <v>81042.5</v>
      </c>
      <c r="E36" s="179">
        <f t="shared" si="1"/>
        <v>83070</v>
      </c>
      <c r="F36" s="179">
        <f t="shared" si="1"/>
        <v>84925</v>
      </c>
      <c r="G36" s="179">
        <f t="shared" si="1"/>
        <v>97010</v>
      </c>
      <c r="H36" s="179">
        <f t="shared" si="1"/>
        <v>135420</v>
      </c>
      <c r="I36" s="179">
        <f t="shared" si="1"/>
        <v>140970</v>
      </c>
      <c r="J36" s="179">
        <f t="shared" si="1"/>
        <v>148925</v>
      </c>
      <c r="K36" s="179">
        <f t="shared" si="1"/>
        <v>165785</v>
      </c>
      <c r="L36" s="179">
        <f t="shared" si="1"/>
        <v>186945</v>
      </c>
    </row>
    <row r="37" spans="2:12" ht="16.5" thickBot="1">
      <c r="B37" s="178" t="s">
        <v>345</v>
      </c>
      <c r="C37" s="179">
        <f t="shared" si="1"/>
        <v>73830</v>
      </c>
      <c r="D37" s="179">
        <f t="shared" si="1"/>
        <v>82390</v>
      </c>
      <c r="E37" s="179">
        <f t="shared" si="1"/>
        <v>85020</v>
      </c>
      <c r="F37" s="179">
        <f t="shared" si="1"/>
        <v>86900</v>
      </c>
      <c r="G37" s="179">
        <f t="shared" si="1"/>
        <v>100125</v>
      </c>
      <c r="H37" s="179">
        <f t="shared" si="1"/>
        <v>139995</v>
      </c>
      <c r="I37" s="179">
        <f t="shared" si="1"/>
        <v>145732.5</v>
      </c>
      <c r="J37" s="179">
        <f t="shared" si="1"/>
        <v>155400</v>
      </c>
      <c r="K37" s="179">
        <f t="shared" si="1"/>
        <v>176435</v>
      </c>
      <c r="L37" s="179">
        <f t="shared" si="1"/>
        <v>198532.5</v>
      </c>
    </row>
    <row r="38" spans="2:12" ht="16.5" thickBot="1">
      <c r="B38" s="178" t="s">
        <v>346</v>
      </c>
      <c r="C38" s="179">
        <f t="shared" si="1"/>
        <v>75037.5</v>
      </c>
      <c r="D38" s="179">
        <f t="shared" si="1"/>
        <v>83737.5</v>
      </c>
      <c r="E38" s="179">
        <f t="shared" si="1"/>
        <v>86775</v>
      </c>
      <c r="F38" s="179">
        <f t="shared" si="1"/>
        <v>88875</v>
      </c>
      <c r="G38" s="179">
        <f t="shared" si="1"/>
        <v>103240</v>
      </c>
      <c r="H38" s="179">
        <f t="shared" si="1"/>
        <v>144570</v>
      </c>
      <c r="I38" s="179">
        <f t="shared" si="1"/>
        <v>150495</v>
      </c>
      <c r="J38" s="179">
        <f t="shared" si="1"/>
        <v>163170</v>
      </c>
      <c r="K38" s="179">
        <f t="shared" si="1"/>
        <v>187084.99999999997</v>
      </c>
      <c r="L38" s="179">
        <f t="shared" si="1"/>
        <v>210120.00000000003</v>
      </c>
    </row>
    <row r="39" spans="2:12" ht="16.5" thickBot="1">
      <c r="B39" s="178" t="s">
        <v>347</v>
      </c>
      <c r="C39" s="179">
        <f t="shared" si="1"/>
        <v>76417.5</v>
      </c>
      <c r="D39" s="179">
        <f t="shared" si="1"/>
        <v>85277.5</v>
      </c>
      <c r="E39" s="179">
        <f t="shared" si="1"/>
        <v>88725</v>
      </c>
      <c r="F39" s="179">
        <f t="shared" si="1"/>
        <v>91047.5</v>
      </c>
      <c r="G39" s="179">
        <f t="shared" si="1"/>
        <v>106577.5</v>
      </c>
      <c r="H39" s="179">
        <f t="shared" si="1"/>
        <v>149145</v>
      </c>
      <c r="I39" s="179">
        <f t="shared" si="1"/>
        <v>155257.5</v>
      </c>
      <c r="J39" s="179">
        <f t="shared" si="1"/>
        <v>172882.5</v>
      </c>
      <c r="K39" s="179">
        <f t="shared" si="1"/>
        <v>197735</v>
      </c>
      <c r="L39" s="179">
        <f t="shared" si="1"/>
        <v>219390</v>
      </c>
    </row>
    <row r="40" spans="2:12" ht="16.5" thickBot="1">
      <c r="B40" s="178" t="s">
        <v>348</v>
      </c>
      <c r="C40" s="179">
        <f t="shared" si="1"/>
        <v>77797.5</v>
      </c>
      <c r="D40" s="179">
        <f t="shared" si="1"/>
        <v>87779.99999999999</v>
      </c>
      <c r="E40" s="179">
        <f t="shared" si="1"/>
        <v>90675</v>
      </c>
      <c r="F40" s="179">
        <f t="shared" si="1"/>
        <v>93812.5</v>
      </c>
      <c r="G40" s="179">
        <f t="shared" si="1"/>
        <v>109915.00000000001</v>
      </c>
      <c r="H40" s="179">
        <f t="shared" si="1"/>
        <v>154330</v>
      </c>
      <c r="I40" s="179">
        <f t="shared" si="1"/>
        <v>161607.5</v>
      </c>
      <c r="J40" s="179">
        <f t="shared" si="1"/>
        <v>182595</v>
      </c>
      <c r="K40" s="179">
        <f t="shared" si="1"/>
        <v>208385</v>
      </c>
      <c r="L40" s="179">
        <f t="shared" si="1"/>
        <v>229046.25</v>
      </c>
    </row>
    <row r="41" spans="2:12" ht="16.5" thickBot="1">
      <c r="B41" s="178" t="s">
        <v>349</v>
      </c>
      <c r="C41" s="179">
        <f t="shared" si="1"/>
        <v>79350</v>
      </c>
      <c r="D41" s="179">
        <f t="shared" si="1"/>
        <v>90282.50000000001</v>
      </c>
      <c r="E41" s="179">
        <f t="shared" si="1"/>
        <v>93210</v>
      </c>
      <c r="F41" s="179">
        <f t="shared" si="1"/>
        <v>96775</v>
      </c>
      <c r="G41" s="179">
        <f t="shared" si="1"/>
        <v>113252.5</v>
      </c>
      <c r="H41" s="179">
        <f t="shared" si="1"/>
        <v>159515</v>
      </c>
      <c r="I41" s="179">
        <f t="shared" si="1"/>
        <v>169227.5</v>
      </c>
      <c r="J41" s="179">
        <f t="shared" si="1"/>
        <v>192307.5</v>
      </c>
      <c r="K41" s="179">
        <f t="shared" si="1"/>
        <v>216905</v>
      </c>
      <c r="L41" s="179">
        <f t="shared" si="1"/>
        <v>238702.5</v>
      </c>
    </row>
    <row r="42" spans="2:12" ht="16.5" thickBot="1">
      <c r="B42" s="178" t="s">
        <v>350</v>
      </c>
      <c r="C42" s="179">
        <f t="shared" si="1"/>
        <v>80902.5</v>
      </c>
      <c r="D42" s="179">
        <f t="shared" si="1"/>
        <v>92977.5</v>
      </c>
      <c r="E42" s="179">
        <f t="shared" si="1"/>
        <v>95940</v>
      </c>
      <c r="F42" s="179">
        <f t="shared" si="1"/>
        <v>99737.5</v>
      </c>
      <c r="G42" s="179">
        <f t="shared" si="1"/>
        <v>116590</v>
      </c>
      <c r="H42" s="179">
        <f t="shared" si="1"/>
        <v>166835</v>
      </c>
      <c r="I42" s="179">
        <f t="shared" si="1"/>
        <v>177165</v>
      </c>
      <c r="J42" s="179">
        <f t="shared" si="1"/>
        <v>202020</v>
      </c>
      <c r="K42" s="179">
        <f t="shared" si="1"/>
        <v>225425</v>
      </c>
      <c r="L42" s="179">
        <f t="shared" si="1"/>
        <v>248358.75</v>
      </c>
    </row>
    <row r="43" spans="2:12" ht="16.5" thickBot="1">
      <c r="B43" s="178" t="s">
        <v>351</v>
      </c>
      <c r="C43" s="179">
        <f t="shared" si="1"/>
        <v>82455</v>
      </c>
      <c r="D43" s="179">
        <f t="shared" si="1"/>
        <v>95672.5</v>
      </c>
      <c r="E43" s="179">
        <f t="shared" si="1"/>
        <v>98865</v>
      </c>
      <c r="F43" s="179">
        <f t="shared" si="1"/>
        <v>102700</v>
      </c>
      <c r="G43" s="179">
        <f t="shared" si="1"/>
        <v>119927.5</v>
      </c>
      <c r="H43" s="179">
        <f t="shared" si="1"/>
        <v>174155</v>
      </c>
      <c r="I43" s="179">
        <f t="shared" si="1"/>
        <v>185102.5</v>
      </c>
      <c r="J43" s="179">
        <f t="shared" si="1"/>
        <v>210437.5</v>
      </c>
      <c r="K43" s="179">
        <f t="shared" si="1"/>
        <v>233945</v>
      </c>
      <c r="L43" s="179">
        <f t="shared" si="1"/>
        <v>258015</v>
      </c>
    </row>
    <row r="44" spans="2:12" ht="16.5" thickBot="1">
      <c r="B44" s="178" t="s">
        <v>352</v>
      </c>
      <c r="C44" s="179">
        <f t="shared" si="1"/>
        <v>84007.5</v>
      </c>
      <c r="D44" s="179">
        <f t="shared" si="1"/>
        <v>98367.5</v>
      </c>
      <c r="E44" s="179">
        <f t="shared" si="1"/>
        <v>101790</v>
      </c>
      <c r="F44" s="179">
        <f t="shared" si="1"/>
        <v>105662.5</v>
      </c>
      <c r="G44" s="179">
        <f t="shared" si="1"/>
        <v>122597.5</v>
      </c>
      <c r="H44" s="179">
        <f t="shared" si="1"/>
        <v>181475</v>
      </c>
      <c r="I44" s="179">
        <f t="shared" si="1"/>
        <v>193040</v>
      </c>
      <c r="J44" s="179">
        <f t="shared" si="1"/>
        <v>218855</v>
      </c>
      <c r="K44" s="179">
        <f t="shared" si="1"/>
        <v>242465</v>
      </c>
      <c r="L44" s="179">
        <f t="shared" si="1"/>
        <v>267671.25</v>
      </c>
    </row>
    <row r="45" spans="2:12" ht="16.5" thickBot="1">
      <c r="B45" s="178" t="s">
        <v>353</v>
      </c>
      <c r="C45" s="179">
        <f t="shared" si="1"/>
        <v>85560</v>
      </c>
      <c r="D45" s="179">
        <f t="shared" si="1"/>
        <v>101062.5</v>
      </c>
      <c r="E45" s="179">
        <f t="shared" si="1"/>
        <v>104715</v>
      </c>
      <c r="F45" s="179">
        <f t="shared" si="1"/>
        <v>108625</v>
      </c>
      <c r="G45" s="179">
        <f t="shared" si="1"/>
        <v>125267.5</v>
      </c>
      <c r="H45" s="179">
        <f t="shared" si="1"/>
        <v>188795</v>
      </c>
      <c r="I45" s="179">
        <f t="shared" si="1"/>
        <v>200977.5</v>
      </c>
      <c r="J45" s="179">
        <f t="shared" si="1"/>
        <v>227272.5</v>
      </c>
      <c r="K45" s="179">
        <f t="shared" si="1"/>
        <v>252405</v>
      </c>
      <c r="L45" s="179">
        <f t="shared" si="1"/>
        <v>278486.25</v>
      </c>
    </row>
    <row r="46" spans="2:12" ht="16.5" thickBot="1">
      <c r="B46" s="178" t="s">
        <v>998</v>
      </c>
      <c r="C46" s="179">
        <f t="shared" si="1"/>
        <v>87112.5</v>
      </c>
      <c r="D46" s="179">
        <f t="shared" si="1"/>
        <v>103950</v>
      </c>
      <c r="E46" s="179">
        <f t="shared" si="1"/>
        <v>107639.99999999999</v>
      </c>
      <c r="F46" s="179">
        <f t="shared" si="1"/>
        <v>111587.5</v>
      </c>
      <c r="G46" s="179">
        <f t="shared" si="1"/>
        <v>128382.49999999999</v>
      </c>
      <c r="H46" s="179">
        <f t="shared" si="1"/>
        <v>196115</v>
      </c>
      <c r="I46" s="179">
        <f t="shared" si="1"/>
        <v>208915</v>
      </c>
      <c r="J46" s="179">
        <f t="shared" si="1"/>
        <v>235690</v>
      </c>
      <c r="K46" s="179">
        <f t="shared" si="1"/>
        <v>262345</v>
      </c>
      <c r="L46" s="179">
        <f t="shared" si="1"/>
        <v>289301.25</v>
      </c>
    </row>
    <row r="47" spans="2:12" ht="16.5" thickBot="1">
      <c r="B47" s="178" t="s">
        <v>999</v>
      </c>
      <c r="C47" s="179">
        <f t="shared" si="1"/>
        <v>88665</v>
      </c>
      <c r="D47" s="179">
        <f t="shared" si="1"/>
        <v>106837.5</v>
      </c>
      <c r="E47" s="179">
        <f t="shared" si="1"/>
        <v>110565</v>
      </c>
      <c r="F47" s="179">
        <f t="shared" si="1"/>
        <v>114550</v>
      </c>
      <c r="G47" s="179">
        <f t="shared" si="1"/>
        <v>131497.5</v>
      </c>
      <c r="H47" s="179">
        <f t="shared" si="1"/>
        <v>203435</v>
      </c>
      <c r="I47" s="179">
        <f t="shared" si="1"/>
        <v>216852.5</v>
      </c>
      <c r="J47" s="179">
        <f t="shared" si="1"/>
        <v>244107.5</v>
      </c>
      <c r="K47" s="179">
        <f t="shared" si="1"/>
        <v>272285</v>
      </c>
      <c r="L47" s="179">
        <f t="shared" si="1"/>
        <v>300116.25</v>
      </c>
    </row>
    <row r="48" spans="2:12" ht="16.5" thickBot="1">
      <c r="B48" s="178" t="s">
        <v>1000</v>
      </c>
      <c r="C48" s="179">
        <f t="shared" si="1"/>
        <v>90217.50000000001</v>
      </c>
      <c r="D48" s="179">
        <f t="shared" si="1"/>
        <v>109725</v>
      </c>
      <c r="E48" s="179">
        <f t="shared" si="1"/>
        <v>113490</v>
      </c>
      <c r="F48" s="179">
        <f t="shared" si="1"/>
        <v>117512.5</v>
      </c>
      <c r="G48" s="179">
        <f t="shared" si="1"/>
        <v>134612.5</v>
      </c>
      <c r="H48" s="179">
        <f t="shared" si="1"/>
        <v>210755</v>
      </c>
      <c r="I48" s="179">
        <f t="shared" si="1"/>
        <v>224790</v>
      </c>
      <c r="J48" s="179">
        <f t="shared" si="1"/>
        <v>252525</v>
      </c>
      <c r="K48" s="179">
        <f t="shared" si="1"/>
        <v>282225</v>
      </c>
      <c r="L48" s="179">
        <f t="shared" si="1"/>
        <v>310931.25</v>
      </c>
    </row>
    <row r="49" spans="2:12" ht="16.5" thickBot="1">
      <c r="B49" s="178" t="s">
        <v>1001</v>
      </c>
      <c r="C49" s="179">
        <f>C$12*C28</f>
        <v>91770</v>
      </c>
      <c r="D49" s="179">
        <f t="shared" si="1"/>
        <v>112612.5</v>
      </c>
      <c r="E49" s="179">
        <f t="shared" si="1"/>
        <v>116415</v>
      </c>
      <c r="F49" s="179">
        <f t="shared" si="1"/>
        <v>120475</v>
      </c>
      <c r="G49" s="179">
        <f t="shared" si="1"/>
        <v>137727.5</v>
      </c>
      <c r="H49" s="179">
        <f t="shared" si="1"/>
        <v>218075</v>
      </c>
      <c r="I49" s="179">
        <f t="shared" si="1"/>
        <v>232727.5</v>
      </c>
      <c r="J49" s="179">
        <f t="shared" si="1"/>
        <v>260942.50000000003</v>
      </c>
      <c r="K49" s="179">
        <f t="shared" si="1"/>
        <v>292165</v>
      </c>
      <c r="L49" s="179">
        <f t="shared" si="1"/>
        <v>321746.25</v>
      </c>
    </row>
  </sheetData>
  <sheetProtection/>
  <mergeCells count="6">
    <mergeCell ref="B5:L5"/>
    <mergeCell ref="B6:L6"/>
    <mergeCell ref="B7:L7"/>
    <mergeCell ref="B8:L8"/>
    <mergeCell ref="C10:L10"/>
    <mergeCell ref="C31:L3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L116"/>
  <sheetViews>
    <sheetView zoomScalePageLayoutView="0" workbookViewId="0" topLeftCell="A1">
      <selection activeCell="AK116" sqref="A1:AK116"/>
    </sheetView>
  </sheetViews>
  <sheetFormatPr defaultColWidth="9.140625" defaultRowHeight="15"/>
  <cols>
    <col min="1" max="1" width="6.00390625" style="16" customWidth="1"/>
    <col min="2" max="2" width="75.28125" style="16" customWidth="1"/>
    <col min="3" max="3" width="7.57421875" style="58" customWidth="1"/>
    <col min="4" max="4" width="13.00390625" style="59" customWidth="1"/>
    <col min="5" max="5" width="1.57421875" style="80" customWidth="1"/>
    <col min="6" max="6" width="11.28125" style="16" customWidth="1"/>
    <col min="7" max="7" width="11.28125" style="16" hidden="1" customWidth="1"/>
    <col min="8" max="8" width="9.421875" style="16" hidden="1" customWidth="1"/>
    <col min="9" max="9" width="11.28125" style="16" customWidth="1"/>
    <col min="10" max="10" width="1.57421875" style="80" customWidth="1"/>
    <col min="11" max="11" width="11.8515625" style="16" customWidth="1"/>
    <col min="12" max="12" width="11.8515625" style="16" hidden="1" customWidth="1"/>
    <col min="13" max="13" width="9.28125" style="16" hidden="1" customWidth="1"/>
    <col min="14" max="14" width="11.8515625" style="16" customWidth="1"/>
    <col min="15" max="15" width="13.8515625" style="16" customWidth="1"/>
    <col min="16" max="16" width="1.7109375" style="80" customWidth="1"/>
    <col min="17" max="17" width="12.28125" style="16" customWidth="1"/>
    <col min="18" max="19" width="11.8515625" style="16" hidden="1" customWidth="1"/>
    <col min="20" max="20" width="11.8515625" style="16" customWidth="1"/>
    <col min="21" max="21" width="1.57421875" style="80" customWidth="1"/>
    <col min="22" max="22" width="12.28125" style="16" customWidth="1"/>
    <col min="23" max="23" width="11.8515625" style="16" hidden="1" customWidth="1"/>
    <col min="24" max="24" width="7.28125" style="16" hidden="1" customWidth="1"/>
    <col min="25" max="25" width="11.8515625" style="16" customWidth="1"/>
    <col min="26" max="26" width="12.00390625" style="16" customWidth="1"/>
    <col min="27" max="27" width="1.57421875" style="100" customWidth="1"/>
    <col min="28" max="28" width="12.421875" style="16" customWidth="1"/>
    <col min="29" max="29" width="11.8515625" style="16" customWidth="1"/>
    <col min="30" max="30" width="8.8515625" style="16" hidden="1" customWidth="1"/>
    <col min="31" max="31" width="11.8515625" style="16" customWidth="1"/>
    <col min="32" max="32" width="1.57421875" style="100" customWidth="1"/>
    <col min="33" max="33" width="13.00390625" style="16" customWidth="1"/>
    <col min="34" max="34" width="11.8515625" style="16" customWidth="1"/>
    <col min="35" max="35" width="8.57421875" style="16" hidden="1" customWidth="1"/>
    <col min="36" max="36" width="11.8515625" style="16" customWidth="1"/>
    <col min="37" max="37" width="13.00390625" style="16" customWidth="1"/>
    <col min="38" max="16384" width="9.140625" style="16" customWidth="1"/>
  </cols>
  <sheetData>
    <row r="1" spans="1:4" ht="25.5" customHeight="1">
      <c r="A1" s="689" t="s">
        <v>615</v>
      </c>
      <c r="B1" s="690"/>
      <c r="C1" s="690"/>
      <c r="D1" s="690"/>
    </row>
    <row r="2" spans="1:4" ht="8.25" customHeight="1">
      <c r="A2" s="691"/>
      <c r="B2" s="17"/>
      <c r="C2" s="18"/>
      <c r="D2" s="51"/>
    </row>
    <row r="3" spans="1:4" ht="19.5" customHeight="1">
      <c r="A3" s="691"/>
      <c r="B3" s="697" t="s">
        <v>883</v>
      </c>
      <c r="C3" s="698"/>
      <c r="D3" s="698"/>
    </row>
    <row r="4" spans="1:4" ht="5.25" customHeight="1">
      <c r="A4" s="691"/>
      <c r="B4" s="20"/>
      <c r="C4" s="692"/>
      <c r="D4" s="692"/>
    </row>
    <row r="5" spans="1:4" ht="19.5" customHeight="1">
      <c r="A5" s="691"/>
      <c r="B5" s="653" t="s">
        <v>1510</v>
      </c>
      <c r="C5" s="692"/>
      <c r="D5" s="692"/>
    </row>
    <row r="6" spans="1:4" ht="6" customHeight="1">
      <c r="A6" s="693"/>
      <c r="B6" s="694"/>
      <c r="C6" s="694"/>
      <c r="D6" s="694"/>
    </row>
    <row r="7" spans="1:35" ht="15.75" customHeight="1">
      <c r="A7" s="695" t="s">
        <v>372</v>
      </c>
      <c r="B7" s="696"/>
      <c r="C7" s="696"/>
      <c r="D7" s="696"/>
      <c r="H7" s="16" t="s">
        <v>1502</v>
      </c>
      <c r="J7" s="100"/>
      <c r="M7" s="16" t="s">
        <v>1503</v>
      </c>
      <c r="S7" s="16" t="s">
        <v>1504</v>
      </c>
      <c r="U7" s="100"/>
      <c r="X7" s="16" t="s">
        <v>1505</v>
      </c>
      <c r="AA7" s="80"/>
      <c r="AD7" s="16" t="s">
        <v>1506</v>
      </c>
      <c r="AI7" s="16" t="s">
        <v>1507</v>
      </c>
    </row>
    <row r="8" spans="1:37" ht="39.75" customHeight="1">
      <c r="A8" s="21" t="s">
        <v>373</v>
      </c>
      <c r="B8" s="22" t="s">
        <v>374</v>
      </c>
      <c r="C8" s="23" t="s">
        <v>375</v>
      </c>
      <c r="D8" s="24" t="s">
        <v>376</v>
      </c>
      <c r="F8" s="699" t="s">
        <v>1345</v>
      </c>
      <c r="G8" s="700"/>
      <c r="H8" s="700"/>
      <c r="I8" s="701"/>
      <c r="K8" s="699" t="s">
        <v>1349</v>
      </c>
      <c r="L8" s="700"/>
      <c r="M8" s="700"/>
      <c r="N8" s="701"/>
      <c r="O8" s="24" t="s">
        <v>1350</v>
      </c>
      <c r="Q8" s="699" t="s">
        <v>1303</v>
      </c>
      <c r="R8" s="700"/>
      <c r="S8" s="700"/>
      <c r="T8" s="701"/>
      <c r="V8" s="699" t="s">
        <v>898</v>
      </c>
      <c r="W8" s="700"/>
      <c r="X8" s="700"/>
      <c r="Y8" s="701"/>
      <c r="Z8" s="24" t="s">
        <v>1351</v>
      </c>
      <c r="AB8" s="699" t="s">
        <v>1304</v>
      </c>
      <c r="AC8" s="700"/>
      <c r="AD8" s="700"/>
      <c r="AE8" s="701"/>
      <c r="AG8" s="699" t="s">
        <v>1305</v>
      </c>
      <c r="AH8" s="700"/>
      <c r="AI8" s="700"/>
      <c r="AJ8" s="701"/>
      <c r="AK8" s="24" t="s">
        <v>1354</v>
      </c>
    </row>
    <row r="9" spans="1:37" ht="36" customHeight="1">
      <c r="A9" s="52" t="s">
        <v>341</v>
      </c>
      <c r="B9" s="53" t="s">
        <v>342</v>
      </c>
      <c r="C9" s="53" t="s">
        <v>343</v>
      </c>
      <c r="D9" s="54" t="s">
        <v>344</v>
      </c>
      <c r="F9" s="370" t="s">
        <v>1307</v>
      </c>
      <c r="G9" s="370" t="s">
        <v>1346</v>
      </c>
      <c r="H9" s="370" t="s">
        <v>1347</v>
      </c>
      <c r="I9" s="369" t="s">
        <v>340</v>
      </c>
      <c r="K9" s="370" t="s">
        <v>1307</v>
      </c>
      <c r="L9" s="370" t="s">
        <v>1346</v>
      </c>
      <c r="M9" s="370" t="s">
        <v>1347</v>
      </c>
      <c r="N9" s="369" t="s">
        <v>340</v>
      </c>
      <c r="O9" s="372" t="s">
        <v>1348</v>
      </c>
      <c r="Q9" s="370" t="s">
        <v>1307</v>
      </c>
      <c r="R9" s="370" t="s">
        <v>1346</v>
      </c>
      <c r="S9" s="370" t="s">
        <v>1347</v>
      </c>
      <c r="T9" s="369" t="s">
        <v>340</v>
      </c>
      <c r="V9" s="370" t="s">
        <v>1307</v>
      </c>
      <c r="W9" s="370" t="s">
        <v>1346</v>
      </c>
      <c r="X9" s="370" t="s">
        <v>1347</v>
      </c>
      <c r="Y9" s="369" t="s">
        <v>340</v>
      </c>
      <c r="Z9" s="372" t="s">
        <v>1352</v>
      </c>
      <c r="AB9" s="370" t="s">
        <v>1307</v>
      </c>
      <c r="AC9" s="370" t="s">
        <v>1346</v>
      </c>
      <c r="AD9" s="370" t="s">
        <v>1347</v>
      </c>
      <c r="AE9" s="369" t="s">
        <v>340</v>
      </c>
      <c r="AG9" s="370" t="s">
        <v>1307</v>
      </c>
      <c r="AH9" s="370" t="s">
        <v>1346</v>
      </c>
      <c r="AI9" s="370" t="s">
        <v>1347</v>
      </c>
      <c r="AJ9" s="369" t="s">
        <v>340</v>
      </c>
      <c r="AK9" s="372" t="s">
        <v>1355</v>
      </c>
    </row>
    <row r="10" spans="1:38" s="98" customFormat="1" ht="13.5" customHeight="1" hidden="1">
      <c r="A10" s="385" t="s">
        <v>377</v>
      </c>
      <c r="B10" s="386" t="s">
        <v>616</v>
      </c>
      <c r="C10" s="387" t="s">
        <v>617</v>
      </c>
      <c r="D10" s="44">
        <f aca="true" t="shared" si="0" ref="D10:D15">O10+Z10+AK10</f>
        <v>0</v>
      </c>
      <c r="E10" s="99"/>
      <c r="F10" s="44"/>
      <c r="G10" s="44"/>
      <c r="H10" s="44"/>
      <c r="I10" s="349">
        <f>SUM(F10:H10)</f>
        <v>0</v>
      </c>
      <c r="J10" s="99"/>
      <c r="K10" s="44"/>
      <c r="L10" s="44"/>
      <c r="M10" s="44"/>
      <c r="N10" s="349">
        <f aca="true" t="shared" si="1" ref="N10:N15">SUM(K10:M10)</f>
        <v>0</v>
      </c>
      <c r="O10" s="373">
        <f aca="true" t="shared" si="2" ref="O10:O15">I10+N10</f>
        <v>0</v>
      </c>
      <c r="P10" s="99"/>
      <c r="Q10" s="44"/>
      <c r="R10" s="44"/>
      <c r="S10" s="44"/>
      <c r="T10" s="349">
        <f aca="true" t="shared" si="3" ref="T10:T15">SUM(Q10:S10)</f>
        <v>0</v>
      </c>
      <c r="U10" s="99"/>
      <c r="V10" s="44"/>
      <c r="W10" s="44"/>
      <c r="X10" s="44"/>
      <c r="Y10" s="349">
        <f aca="true" t="shared" si="4" ref="Y10:Y15">SUM(V10:X10)</f>
        <v>0</v>
      </c>
      <c r="Z10" s="373">
        <f aca="true" t="shared" si="5" ref="Z10:Z15">T10+Y10</f>
        <v>0</v>
      </c>
      <c r="AA10" s="120"/>
      <c r="AB10" s="44"/>
      <c r="AC10" s="44"/>
      <c r="AD10" s="44"/>
      <c r="AE10" s="349">
        <f aca="true" t="shared" si="6" ref="AE10:AE15">SUM(AB10:AD10)</f>
        <v>0</v>
      </c>
      <c r="AF10" s="120"/>
      <c r="AG10" s="44"/>
      <c r="AH10" s="44"/>
      <c r="AI10" s="44"/>
      <c r="AJ10" s="349">
        <f aca="true" t="shared" si="7" ref="AJ10:AJ15">SUM(AG10:AI10)</f>
        <v>0</v>
      </c>
      <c r="AK10" s="373">
        <f aca="true" t="shared" si="8" ref="AK10:AK15">AE10+AJ10</f>
        <v>0</v>
      </c>
      <c r="AL10" s="99"/>
    </row>
    <row r="11" spans="1:37" s="98" customFormat="1" ht="13.5" customHeight="1" hidden="1">
      <c r="A11" s="385" t="s">
        <v>380</v>
      </c>
      <c r="B11" s="388" t="s">
        <v>618</v>
      </c>
      <c r="C11" s="387" t="s">
        <v>619</v>
      </c>
      <c r="D11" s="44">
        <f t="shared" si="0"/>
        <v>0</v>
      </c>
      <c r="E11" s="99"/>
      <c r="F11" s="44"/>
      <c r="G11" s="44"/>
      <c r="H11" s="44"/>
      <c r="I11" s="349">
        <f aca="true" t="shared" si="9" ref="I11:I74">SUM(F11:H11)</f>
        <v>0</v>
      </c>
      <c r="J11" s="99"/>
      <c r="K11" s="44"/>
      <c r="L11" s="44"/>
      <c r="M11" s="44"/>
      <c r="N11" s="349">
        <f t="shared" si="1"/>
        <v>0</v>
      </c>
      <c r="O11" s="373">
        <f t="shared" si="2"/>
        <v>0</v>
      </c>
      <c r="Q11" s="44"/>
      <c r="R11" s="44"/>
      <c r="S11" s="44"/>
      <c r="T11" s="349">
        <f t="shared" si="3"/>
        <v>0</v>
      </c>
      <c r="U11" s="99"/>
      <c r="V11" s="44"/>
      <c r="W11" s="44"/>
      <c r="X11" s="44"/>
      <c r="Y11" s="349">
        <f t="shared" si="4"/>
        <v>0</v>
      </c>
      <c r="Z11" s="373">
        <f t="shared" si="5"/>
        <v>0</v>
      </c>
      <c r="AA11" s="103"/>
      <c r="AB11" s="44"/>
      <c r="AC11" s="44"/>
      <c r="AD11" s="44"/>
      <c r="AE11" s="349">
        <f t="shared" si="6"/>
        <v>0</v>
      </c>
      <c r="AF11" s="103"/>
      <c r="AG11" s="44"/>
      <c r="AH11" s="44"/>
      <c r="AI11" s="44"/>
      <c r="AJ11" s="349">
        <f t="shared" si="7"/>
        <v>0</v>
      </c>
      <c r="AK11" s="373">
        <f t="shared" si="8"/>
        <v>0</v>
      </c>
    </row>
    <row r="12" spans="1:37" s="98" customFormat="1" ht="13.5" customHeight="1" hidden="1">
      <c r="A12" s="385" t="s">
        <v>383</v>
      </c>
      <c r="B12" s="388" t="s">
        <v>620</v>
      </c>
      <c r="C12" s="387" t="s">
        <v>621</v>
      </c>
      <c r="D12" s="44">
        <f t="shared" si="0"/>
        <v>0</v>
      </c>
      <c r="E12" s="99"/>
      <c r="F12" s="44"/>
      <c r="G12" s="44"/>
      <c r="H12" s="44"/>
      <c r="I12" s="349">
        <f t="shared" si="9"/>
        <v>0</v>
      </c>
      <c r="J12" s="99"/>
      <c r="K12" s="44"/>
      <c r="L12" s="44"/>
      <c r="M12" s="44"/>
      <c r="N12" s="349">
        <f t="shared" si="1"/>
        <v>0</v>
      </c>
      <c r="O12" s="373">
        <f t="shared" si="2"/>
        <v>0</v>
      </c>
      <c r="Q12" s="44"/>
      <c r="R12" s="44"/>
      <c r="S12" s="44"/>
      <c r="T12" s="349">
        <f t="shared" si="3"/>
        <v>0</v>
      </c>
      <c r="U12" s="99"/>
      <c r="V12" s="44"/>
      <c r="W12" s="44"/>
      <c r="X12" s="44"/>
      <c r="Y12" s="349">
        <f t="shared" si="4"/>
        <v>0</v>
      </c>
      <c r="Z12" s="373">
        <f t="shared" si="5"/>
        <v>0</v>
      </c>
      <c r="AA12" s="103"/>
      <c r="AB12" s="44"/>
      <c r="AC12" s="44"/>
      <c r="AD12" s="44"/>
      <c r="AE12" s="349">
        <f t="shared" si="6"/>
        <v>0</v>
      </c>
      <c r="AF12" s="103"/>
      <c r="AG12" s="44"/>
      <c r="AH12" s="44"/>
      <c r="AI12" s="44"/>
      <c r="AJ12" s="349">
        <f t="shared" si="7"/>
        <v>0</v>
      </c>
      <c r="AK12" s="373">
        <f t="shared" si="8"/>
        <v>0</v>
      </c>
    </row>
    <row r="13" spans="1:37" s="99" customFormat="1" ht="13.5" customHeight="1" hidden="1">
      <c r="A13" s="385" t="s">
        <v>386</v>
      </c>
      <c r="B13" s="388" t="s">
        <v>622</v>
      </c>
      <c r="C13" s="387" t="s">
        <v>623</v>
      </c>
      <c r="D13" s="44">
        <f t="shared" si="0"/>
        <v>0</v>
      </c>
      <c r="F13" s="44"/>
      <c r="G13" s="44"/>
      <c r="H13" s="44"/>
      <c r="I13" s="349">
        <f t="shared" si="9"/>
        <v>0</v>
      </c>
      <c r="K13" s="44"/>
      <c r="L13" s="44"/>
      <c r="M13" s="44"/>
      <c r="N13" s="349">
        <f t="shared" si="1"/>
        <v>0</v>
      </c>
      <c r="O13" s="373">
        <f t="shared" si="2"/>
        <v>0</v>
      </c>
      <c r="Q13" s="44"/>
      <c r="R13" s="44"/>
      <c r="S13" s="44"/>
      <c r="T13" s="349">
        <f t="shared" si="3"/>
        <v>0</v>
      </c>
      <c r="V13" s="44"/>
      <c r="W13" s="44"/>
      <c r="X13" s="44"/>
      <c r="Y13" s="349">
        <f t="shared" si="4"/>
        <v>0</v>
      </c>
      <c r="Z13" s="373">
        <f t="shared" si="5"/>
        <v>0</v>
      </c>
      <c r="AA13" s="119"/>
      <c r="AB13" s="44"/>
      <c r="AC13" s="44"/>
      <c r="AD13" s="44"/>
      <c r="AE13" s="349">
        <f t="shared" si="6"/>
        <v>0</v>
      </c>
      <c r="AF13" s="119"/>
      <c r="AG13" s="44"/>
      <c r="AH13" s="44"/>
      <c r="AI13" s="44"/>
      <c r="AJ13" s="349">
        <f t="shared" si="7"/>
        <v>0</v>
      </c>
      <c r="AK13" s="373">
        <f t="shared" si="8"/>
        <v>0</v>
      </c>
    </row>
    <row r="14" spans="1:37" s="119" customFormat="1" ht="13.5" customHeight="1" hidden="1">
      <c r="A14" s="385" t="s">
        <v>389</v>
      </c>
      <c r="B14" s="388" t="s">
        <v>624</v>
      </c>
      <c r="C14" s="387" t="s">
        <v>625</v>
      </c>
      <c r="D14" s="389">
        <f t="shared" si="0"/>
        <v>0</v>
      </c>
      <c r="E14" s="99"/>
      <c r="F14" s="389"/>
      <c r="G14" s="389"/>
      <c r="H14" s="389"/>
      <c r="I14" s="349">
        <f t="shared" si="9"/>
        <v>0</v>
      </c>
      <c r="J14" s="99"/>
      <c r="K14" s="389"/>
      <c r="L14" s="389"/>
      <c r="M14" s="389"/>
      <c r="N14" s="349">
        <f t="shared" si="1"/>
        <v>0</v>
      </c>
      <c r="O14" s="373">
        <f t="shared" si="2"/>
        <v>0</v>
      </c>
      <c r="Q14" s="389"/>
      <c r="R14" s="389"/>
      <c r="S14" s="389"/>
      <c r="T14" s="349">
        <f t="shared" si="3"/>
        <v>0</v>
      </c>
      <c r="U14" s="99"/>
      <c r="V14" s="389"/>
      <c r="W14" s="389"/>
      <c r="X14" s="389"/>
      <c r="Y14" s="349">
        <f t="shared" si="4"/>
        <v>0</v>
      </c>
      <c r="Z14" s="373">
        <f t="shared" si="5"/>
        <v>0</v>
      </c>
      <c r="AB14" s="389"/>
      <c r="AC14" s="389"/>
      <c r="AD14" s="389"/>
      <c r="AE14" s="349">
        <f t="shared" si="6"/>
        <v>0</v>
      </c>
      <c r="AG14" s="389"/>
      <c r="AH14" s="389"/>
      <c r="AI14" s="389"/>
      <c r="AJ14" s="349">
        <f t="shared" si="7"/>
        <v>0</v>
      </c>
      <c r="AK14" s="373">
        <f t="shared" si="8"/>
        <v>0</v>
      </c>
    </row>
    <row r="15" spans="1:37" s="119" customFormat="1" ht="13.5" customHeight="1" hidden="1">
      <c r="A15" s="385" t="s">
        <v>392</v>
      </c>
      <c r="B15" s="388" t="s">
        <v>626</v>
      </c>
      <c r="C15" s="387" t="s">
        <v>627</v>
      </c>
      <c r="D15" s="389">
        <f t="shared" si="0"/>
        <v>0</v>
      </c>
      <c r="E15" s="99"/>
      <c r="F15" s="389"/>
      <c r="G15" s="389"/>
      <c r="H15" s="389"/>
      <c r="I15" s="349">
        <f t="shared" si="9"/>
        <v>0</v>
      </c>
      <c r="J15" s="99"/>
      <c r="K15" s="389"/>
      <c r="L15" s="389"/>
      <c r="M15" s="389"/>
      <c r="N15" s="349">
        <f t="shared" si="1"/>
        <v>0</v>
      </c>
      <c r="O15" s="373">
        <f t="shared" si="2"/>
        <v>0</v>
      </c>
      <c r="Q15" s="389"/>
      <c r="R15" s="389"/>
      <c r="S15" s="389"/>
      <c r="T15" s="349">
        <f t="shared" si="3"/>
        <v>0</v>
      </c>
      <c r="U15" s="99"/>
      <c r="V15" s="389"/>
      <c r="W15" s="389"/>
      <c r="X15" s="389"/>
      <c r="Y15" s="349">
        <f t="shared" si="4"/>
        <v>0</v>
      </c>
      <c r="Z15" s="373">
        <f t="shared" si="5"/>
        <v>0</v>
      </c>
      <c r="AB15" s="389"/>
      <c r="AC15" s="389"/>
      <c r="AD15" s="389"/>
      <c r="AE15" s="349">
        <f t="shared" si="6"/>
        <v>0</v>
      </c>
      <c r="AG15" s="389"/>
      <c r="AH15" s="389"/>
      <c r="AI15" s="389"/>
      <c r="AJ15" s="349">
        <f t="shared" si="7"/>
        <v>0</v>
      </c>
      <c r="AK15" s="373">
        <f t="shared" si="8"/>
        <v>0</v>
      </c>
    </row>
    <row r="16" spans="1:37" s="98" customFormat="1" ht="13.5" customHeight="1">
      <c r="A16" s="94" t="s">
        <v>395</v>
      </c>
      <c r="B16" s="96" t="s">
        <v>628</v>
      </c>
      <c r="C16" s="102" t="s">
        <v>629</v>
      </c>
      <c r="D16" s="56">
        <f>SUM(D10:D15)</f>
        <v>0</v>
      </c>
      <c r="F16" s="56">
        <f>SUM(F10:F15)</f>
        <v>0</v>
      </c>
      <c r="G16" s="56">
        <f>SUM(G10:G15)</f>
        <v>0</v>
      </c>
      <c r="H16" s="56">
        <f>SUM(H10:H15)</f>
        <v>0</v>
      </c>
      <c r="I16" s="56">
        <f>SUM(I10:I15)</f>
        <v>0</v>
      </c>
      <c r="K16" s="56">
        <f>SUM(K10:K15)</f>
        <v>0</v>
      </c>
      <c r="L16" s="56">
        <f>SUM(L10:L15)</f>
        <v>0</v>
      </c>
      <c r="M16" s="56">
        <f>SUM(M10:M15)</f>
        <v>0</v>
      </c>
      <c r="N16" s="56">
        <f>SUM(N10:N15)</f>
        <v>0</v>
      </c>
      <c r="O16" s="56">
        <f>SUM(O10:O15)</f>
        <v>0</v>
      </c>
      <c r="Q16" s="56">
        <f>SUM(Q10:Q15)</f>
        <v>0</v>
      </c>
      <c r="R16" s="56">
        <f>SUM(R10:R15)</f>
        <v>0</v>
      </c>
      <c r="S16" s="56">
        <f>SUM(S10:S15)</f>
        <v>0</v>
      </c>
      <c r="T16" s="56">
        <f>SUM(T10:T15)</f>
        <v>0</v>
      </c>
      <c r="V16" s="56">
        <f>SUM(V10:V15)</f>
        <v>0</v>
      </c>
      <c r="W16" s="56">
        <f>SUM(W10:W15)</f>
        <v>0</v>
      </c>
      <c r="X16" s="56">
        <f>SUM(X10:X15)</f>
        <v>0</v>
      </c>
      <c r="Y16" s="56">
        <f>SUM(Y10:Y15)</f>
        <v>0</v>
      </c>
      <c r="Z16" s="56">
        <f>SUM(Z10:Z15)</f>
        <v>0</v>
      </c>
      <c r="AA16" s="103"/>
      <c r="AB16" s="56">
        <f>SUM(AB10:AB15)</f>
        <v>0</v>
      </c>
      <c r="AC16" s="56">
        <f>SUM(AC10:AC15)</f>
        <v>0</v>
      </c>
      <c r="AD16" s="56">
        <f>SUM(AD10:AD15)</f>
        <v>0</v>
      </c>
      <c r="AE16" s="56">
        <f>SUM(AE10:AE15)</f>
        <v>0</v>
      </c>
      <c r="AF16" s="103"/>
      <c r="AG16" s="56">
        <f>SUM(AG10:AG15)</f>
        <v>0</v>
      </c>
      <c r="AH16" s="56">
        <f>SUM(AH10:AH15)</f>
        <v>0</v>
      </c>
      <c r="AI16" s="56">
        <f>SUM(AI10:AI15)</f>
        <v>0</v>
      </c>
      <c r="AJ16" s="56">
        <f>SUM(AJ10:AJ15)</f>
        <v>0</v>
      </c>
      <c r="AK16" s="56">
        <f>SUM(AK10:AK15)</f>
        <v>0</v>
      </c>
    </row>
    <row r="17" spans="1:37" s="29" customFormat="1" ht="13.5" customHeight="1">
      <c r="A17" s="91" t="s">
        <v>398</v>
      </c>
      <c r="B17" s="32" t="s">
        <v>630</v>
      </c>
      <c r="C17" s="34" t="s">
        <v>631</v>
      </c>
      <c r="D17" s="28">
        <f>O17+Z17+AK17</f>
        <v>0</v>
      </c>
      <c r="E17" s="99"/>
      <c r="F17" s="28"/>
      <c r="G17" s="28"/>
      <c r="H17" s="28"/>
      <c r="I17" s="349">
        <f t="shared" si="9"/>
        <v>0</v>
      </c>
      <c r="J17" s="99"/>
      <c r="K17" s="28"/>
      <c r="L17" s="28"/>
      <c r="M17" s="28"/>
      <c r="N17" s="349">
        <f>SUM(K17:M17)</f>
        <v>0</v>
      </c>
      <c r="O17" s="373">
        <f>I17+N17</f>
        <v>0</v>
      </c>
      <c r="P17" s="99"/>
      <c r="Q17" s="28"/>
      <c r="R17" s="28"/>
      <c r="S17" s="28"/>
      <c r="T17" s="349">
        <f>SUM(Q17:S17)</f>
        <v>0</v>
      </c>
      <c r="U17" s="99"/>
      <c r="V17" s="28"/>
      <c r="W17" s="28"/>
      <c r="X17" s="28"/>
      <c r="Y17" s="349">
        <f>SUM(V17:X17)</f>
        <v>0</v>
      </c>
      <c r="Z17" s="373">
        <f>T17+Y17</f>
        <v>0</v>
      </c>
      <c r="AA17" s="119"/>
      <c r="AB17" s="28"/>
      <c r="AC17" s="28"/>
      <c r="AD17" s="28"/>
      <c r="AE17" s="349">
        <f>SUM(AB17:AD17)</f>
        <v>0</v>
      </c>
      <c r="AF17" s="119"/>
      <c r="AG17" s="28"/>
      <c r="AH17" s="28"/>
      <c r="AI17" s="28"/>
      <c r="AJ17" s="349">
        <f>SUM(AG17:AI17)</f>
        <v>0</v>
      </c>
      <c r="AK17" s="373">
        <f>AE17+AJ17</f>
        <v>0</v>
      </c>
    </row>
    <row r="18" spans="1:37" s="29" customFormat="1" ht="13.5" customHeight="1">
      <c r="A18" s="91" t="s">
        <v>401</v>
      </c>
      <c r="B18" s="32" t="s">
        <v>632</v>
      </c>
      <c r="C18" s="34" t="s">
        <v>633</v>
      </c>
      <c r="D18" s="28">
        <f>O18+Z18+AK18</f>
        <v>0</v>
      </c>
      <c r="E18" s="99"/>
      <c r="F18" s="28"/>
      <c r="G18" s="28"/>
      <c r="H18" s="28"/>
      <c r="I18" s="349">
        <f t="shared" si="9"/>
        <v>0</v>
      </c>
      <c r="J18" s="99"/>
      <c r="K18" s="28"/>
      <c r="L18" s="28"/>
      <c r="M18" s="28"/>
      <c r="N18" s="349">
        <f>SUM(K18:M18)</f>
        <v>0</v>
      </c>
      <c r="O18" s="373">
        <f>I18+N18</f>
        <v>0</v>
      </c>
      <c r="P18" s="99"/>
      <c r="Q18" s="28"/>
      <c r="R18" s="28"/>
      <c r="S18" s="28"/>
      <c r="T18" s="349">
        <f>SUM(Q18:S18)</f>
        <v>0</v>
      </c>
      <c r="U18" s="99"/>
      <c r="V18" s="28"/>
      <c r="W18" s="28"/>
      <c r="X18" s="28"/>
      <c r="Y18" s="349">
        <f>SUM(V18:X18)</f>
        <v>0</v>
      </c>
      <c r="Z18" s="373">
        <f>T18+Y18</f>
        <v>0</v>
      </c>
      <c r="AA18" s="119"/>
      <c r="AB18" s="28"/>
      <c r="AC18" s="28"/>
      <c r="AD18" s="28"/>
      <c r="AE18" s="349">
        <f>SUM(AB18:AD18)</f>
        <v>0</v>
      </c>
      <c r="AF18" s="119"/>
      <c r="AG18" s="28"/>
      <c r="AH18" s="28"/>
      <c r="AI18" s="28"/>
      <c r="AJ18" s="349">
        <f>SUM(AG18:AI18)</f>
        <v>0</v>
      </c>
      <c r="AK18" s="373">
        <f>AE18+AJ18</f>
        <v>0</v>
      </c>
    </row>
    <row r="19" spans="1:37" s="29" customFormat="1" ht="13.5" customHeight="1">
      <c r="A19" s="91" t="s">
        <v>404</v>
      </c>
      <c r="B19" s="32" t="s">
        <v>634</v>
      </c>
      <c r="C19" s="34" t="s">
        <v>635</v>
      </c>
      <c r="D19" s="28">
        <f>O19+Z19+AK19</f>
        <v>0</v>
      </c>
      <c r="E19" s="99"/>
      <c r="F19" s="28"/>
      <c r="G19" s="28"/>
      <c r="H19" s="28"/>
      <c r="I19" s="349">
        <f t="shared" si="9"/>
        <v>0</v>
      </c>
      <c r="J19" s="99"/>
      <c r="K19" s="28"/>
      <c r="L19" s="28"/>
      <c r="M19" s="28"/>
      <c r="N19" s="349">
        <f>SUM(K19:M19)</f>
        <v>0</v>
      </c>
      <c r="O19" s="373">
        <f>I19+N19</f>
        <v>0</v>
      </c>
      <c r="P19" s="99"/>
      <c r="Q19" s="28"/>
      <c r="R19" s="28"/>
      <c r="S19" s="28"/>
      <c r="T19" s="349">
        <f>SUM(Q19:S19)</f>
        <v>0</v>
      </c>
      <c r="U19" s="99"/>
      <c r="V19" s="28"/>
      <c r="W19" s="28"/>
      <c r="X19" s="28"/>
      <c r="Y19" s="349">
        <f>SUM(V19:X19)</f>
        <v>0</v>
      </c>
      <c r="Z19" s="373">
        <f>T19+Y19</f>
        <v>0</v>
      </c>
      <c r="AA19" s="119"/>
      <c r="AB19" s="28"/>
      <c r="AC19" s="28"/>
      <c r="AD19" s="28"/>
      <c r="AE19" s="349">
        <f>SUM(AB19:AD19)</f>
        <v>0</v>
      </c>
      <c r="AF19" s="119"/>
      <c r="AG19" s="28"/>
      <c r="AH19" s="28"/>
      <c r="AI19" s="28"/>
      <c r="AJ19" s="349">
        <f>SUM(AG19:AI19)</f>
        <v>0</v>
      </c>
      <c r="AK19" s="373">
        <f>AE19+AJ19</f>
        <v>0</v>
      </c>
    </row>
    <row r="20" spans="1:37" s="29" customFormat="1" ht="13.5" customHeight="1">
      <c r="A20" s="91" t="s">
        <v>407</v>
      </c>
      <c r="B20" s="32" t="s">
        <v>636</v>
      </c>
      <c r="C20" s="34" t="s">
        <v>637</v>
      </c>
      <c r="D20" s="28">
        <f>O20+Z20+AK20</f>
        <v>0</v>
      </c>
      <c r="E20" s="99"/>
      <c r="F20" s="28"/>
      <c r="G20" s="28"/>
      <c r="H20" s="28"/>
      <c r="I20" s="349">
        <f t="shared" si="9"/>
        <v>0</v>
      </c>
      <c r="J20" s="99"/>
      <c r="K20" s="28"/>
      <c r="L20" s="28"/>
      <c r="M20" s="28"/>
      <c r="N20" s="349">
        <f>SUM(K20:M20)</f>
        <v>0</v>
      </c>
      <c r="O20" s="373">
        <f>I20+N20</f>
        <v>0</v>
      </c>
      <c r="P20" s="99"/>
      <c r="Q20" s="28"/>
      <c r="R20" s="28"/>
      <c r="S20" s="28"/>
      <c r="T20" s="349">
        <f>SUM(Q20:S20)</f>
        <v>0</v>
      </c>
      <c r="U20" s="99"/>
      <c r="V20" s="28"/>
      <c r="W20" s="28"/>
      <c r="X20" s="28"/>
      <c r="Y20" s="349">
        <f>SUM(V20:X20)</f>
        <v>0</v>
      </c>
      <c r="Z20" s="373">
        <f>T20+Y20</f>
        <v>0</v>
      </c>
      <c r="AA20" s="119"/>
      <c r="AB20" s="28"/>
      <c r="AC20" s="28">
        <v>-12740000</v>
      </c>
      <c r="AD20" s="28"/>
      <c r="AE20" s="349">
        <f>SUM(AB20:AD20)</f>
        <v>-12740000</v>
      </c>
      <c r="AF20" s="119"/>
      <c r="AG20" s="28"/>
      <c r="AH20" s="28">
        <v>12740000</v>
      </c>
      <c r="AI20" s="28"/>
      <c r="AJ20" s="349">
        <f>SUM(AG20:AI20)</f>
        <v>12740000</v>
      </c>
      <c r="AK20" s="373">
        <f>AE20+AJ20</f>
        <v>0</v>
      </c>
    </row>
    <row r="21" spans="1:37" s="29" customFormat="1" ht="13.5" customHeight="1">
      <c r="A21" s="91" t="s">
        <v>410</v>
      </c>
      <c r="B21" s="32" t="s">
        <v>638</v>
      </c>
      <c r="C21" s="34" t="s">
        <v>639</v>
      </c>
      <c r="D21" s="28">
        <f>O21+Z21+AK21</f>
        <v>327950000</v>
      </c>
      <c r="E21" s="99"/>
      <c r="F21" s="28">
        <f>'Összesített ktgvetés'!F17</f>
        <v>42135000</v>
      </c>
      <c r="G21" s="28"/>
      <c r="H21" s="28"/>
      <c r="I21" s="349">
        <f t="shared" si="9"/>
        <v>42135000</v>
      </c>
      <c r="J21" s="99"/>
      <c r="K21" s="28">
        <f>'Összesített ktgvetés'!J18</f>
        <v>42965000</v>
      </c>
      <c r="L21" s="28"/>
      <c r="M21" s="28"/>
      <c r="N21" s="349">
        <f>SUM(K21:M21)</f>
        <v>42965000</v>
      </c>
      <c r="O21" s="373">
        <f>I21+N21</f>
        <v>85100000</v>
      </c>
      <c r="P21" s="99"/>
      <c r="Q21" s="28">
        <f>'Összesített ktgvetés'!O22</f>
        <v>29802000</v>
      </c>
      <c r="R21" s="28"/>
      <c r="S21" s="28"/>
      <c r="T21" s="349">
        <f>SUM(Q21:S21)</f>
        <v>29802000</v>
      </c>
      <c r="U21" s="99"/>
      <c r="V21" s="28">
        <f>'Összesített ktgvetés'!S21</f>
        <v>9298000</v>
      </c>
      <c r="W21" s="28"/>
      <c r="X21" s="28"/>
      <c r="Y21" s="349">
        <f>SUM(V21:X21)</f>
        <v>9298000</v>
      </c>
      <c r="Z21" s="373">
        <f>T21+Y21</f>
        <v>39100000</v>
      </c>
      <c r="AA21" s="119"/>
      <c r="AB21" s="28">
        <v>102320000</v>
      </c>
      <c r="AC21" s="28"/>
      <c r="AD21" s="28"/>
      <c r="AE21" s="349">
        <f>SUM(AB21:AD21)</f>
        <v>102320000</v>
      </c>
      <c r="AF21" s="119"/>
      <c r="AG21" s="28">
        <v>101430000</v>
      </c>
      <c r="AH21" s="28"/>
      <c r="AI21" s="28"/>
      <c r="AJ21" s="349">
        <f>SUM(AG21:AI21)</f>
        <v>101430000</v>
      </c>
      <c r="AK21" s="373">
        <f>AE21+AJ21</f>
        <v>203750000</v>
      </c>
    </row>
    <row r="22" spans="1:37" ht="13.5" customHeight="1">
      <c r="A22" s="84" t="s">
        <v>413</v>
      </c>
      <c r="B22" s="85" t="s">
        <v>640</v>
      </c>
      <c r="C22" s="86" t="s">
        <v>641</v>
      </c>
      <c r="D22" s="104">
        <f>SUM(D16:D21)</f>
        <v>327950000</v>
      </c>
      <c r="F22" s="104">
        <f>SUM(F16:F21)</f>
        <v>42135000</v>
      </c>
      <c r="G22" s="104">
        <f>SUM(G16:G21)</f>
        <v>0</v>
      </c>
      <c r="H22" s="104">
        <f>SUM(H16:H21)</f>
        <v>0</v>
      </c>
      <c r="I22" s="104">
        <f>SUM(I16:I21)</f>
        <v>42135000</v>
      </c>
      <c r="K22" s="104">
        <f>SUM(K16:K21)</f>
        <v>42965000</v>
      </c>
      <c r="L22" s="104">
        <f>SUM(L16:L21)</f>
        <v>0</v>
      </c>
      <c r="M22" s="104">
        <f>SUM(M16:M21)</f>
        <v>0</v>
      </c>
      <c r="N22" s="104">
        <f>SUM(N16:N21)</f>
        <v>42965000</v>
      </c>
      <c r="O22" s="104">
        <f>SUM(O16:O21)</f>
        <v>85100000</v>
      </c>
      <c r="Q22" s="104">
        <f>SUM(Q16:Q21)</f>
        <v>29802000</v>
      </c>
      <c r="R22" s="104">
        <f>SUM(R16:R21)</f>
        <v>0</v>
      </c>
      <c r="S22" s="104">
        <f>SUM(S16:S21)</f>
        <v>0</v>
      </c>
      <c r="T22" s="104">
        <f>SUM(T16:T21)</f>
        <v>29802000</v>
      </c>
      <c r="V22" s="104">
        <f>SUM(V16:V21)</f>
        <v>9298000</v>
      </c>
      <c r="W22" s="104">
        <f>SUM(W16:W21)</f>
        <v>0</v>
      </c>
      <c r="X22" s="104">
        <f>SUM(X16:X21)</f>
        <v>0</v>
      </c>
      <c r="Y22" s="104">
        <f>SUM(Y16:Y21)</f>
        <v>9298000</v>
      </c>
      <c r="Z22" s="104">
        <f>SUM(Z16:Z21)</f>
        <v>39100000</v>
      </c>
      <c r="AB22" s="104">
        <f>SUM(AB16:AB21)</f>
        <v>102320000</v>
      </c>
      <c r="AC22" s="104">
        <f>SUM(AC16:AC21)</f>
        <v>-12740000</v>
      </c>
      <c r="AD22" s="104">
        <f>SUM(AD16:AD21)</f>
        <v>0</v>
      </c>
      <c r="AE22" s="104">
        <f>SUM(AE16:AE21)</f>
        <v>89580000</v>
      </c>
      <c r="AG22" s="104">
        <f>SUM(AG16:AG21)</f>
        <v>101430000</v>
      </c>
      <c r="AH22" s="104">
        <f>SUM(AH16:AH21)</f>
        <v>12740000</v>
      </c>
      <c r="AI22" s="104">
        <f>SUM(AI16:AI21)</f>
        <v>0</v>
      </c>
      <c r="AJ22" s="104">
        <f>SUM(AJ16:AJ21)</f>
        <v>114170000</v>
      </c>
      <c r="AK22" s="104">
        <f>SUM(AK16:AK21)</f>
        <v>203750000</v>
      </c>
    </row>
    <row r="23" spans="1:37" s="29" customFormat="1" ht="13.5" customHeight="1" hidden="1">
      <c r="A23" s="91" t="s">
        <v>416</v>
      </c>
      <c r="B23" s="32" t="s">
        <v>642</v>
      </c>
      <c r="C23" s="34" t="s">
        <v>643</v>
      </c>
      <c r="D23" s="28">
        <f>O23+Z23+AK23</f>
        <v>0</v>
      </c>
      <c r="E23" s="119"/>
      <c r="F23" s="28"/>
      <c r="G23" s="28"/>
      <c r="H23" s="28"/>
      <c r="I23" s="349">
        <f t="shared" si="9"/>
        <v>0</v>
      </c>
      <c r="J23" s="119"/>
      <c r="K23" s="28"/>
      <c r="L23" s="28"/>
      <c r="M23" s="28"/>
      <c r="N23" s="349">
        <f>SUM(K23:M23)</f>
        <v>0</v>
      </c>
      <c r="O23" s="373">
        <f>I23+N23</f>
        <v>0</v>
      </c>
      <c r="P23" s="99"/>
      <c r="Q23" s="28"/>
      <c r="R23" s="28"/>
      <c r="S23" s="28"/>
      <c r="T23" s="349">
        <f>SUM(Q23:S23)</f>
        <v>0</v>
      </c>
      <c r="U23" s="119"/>
      <c r="V23" s="28"/>
      <c r="W23" s="28"/>
      <c r="X23" s="28"/>
      <c r="Y23" s="349">
        <f>SUM(V23:X23)</f>
        <v>0</v>
      </c>
      <c r="Z23" s="373">
        <f>T23+Y23</f>
        <v>0</v>
      </c>
      <c r="AA23" s="119"/>
      <c r="AB23" s="28"/>
      <c r="AC23" s="28"/>
      <c r="AD23" s="28"/>
      <c r="AE23" s="349">
        <f>SUM(AB23:AD23)</f>
        <v>0</v>
      </c>
      <c r="AF23" s="119"/>
      <c r="AG23" s="28"/>
      <c r="AH23" s="28"/>
      <c r="AI23" s="28"/>
      <c r="AJ23" s="349">
        <f>SUM(AG23:AI23)</f>
        <v>0</v>
      </c>
      <c r="AK23" s="373">
        <f>AE23+AJ23</f>
        <v>0</v>
      </c>
    </row>
    <row r="24" spans="1:37" s="29" customFormat="1" ht="13.5" customHeight="1" hidden="1">
      <c r="A24" s="91" t="s">
        <v>419</v>
      </c>
      <c r="B24" s="32" t="s">
        <v>644</v>
      </c>
      <c r="C24" s="34" t="s">
        <v>645</v>
      </c>
      <c r="D24" s="28">
        <f>O24+Z24+AK24</f>
        <v>0</v>
      </c>
      <c r="E24" s="119"/>
      <c r="F24" s="28"/>
      <c r="G24" s="28"/>
      <c r="H24" s="28"/>
      <c r="I24" s="349">
        <f t="shared" si="9"/>
        <v>0</v>
      </c>
      <c r="J24" s="119"/>
      <c r="K24" s="28"/>
      <c r="L24" s="28"/>
      <c r="M24" s="28"/>
      <c r="N24" s="349">
        <f>SUM(K24:M24)</f>
        <v>0</v>
      </c>
      <c r="O24" s="373">
        <f>I24+N24</f>
        <v>0</v>
      </c>
      <c r="P24" s="99"/>
      <c r="Q24" s="28"/>
      <c r="R24" s="28"/>
      <c r="S24" s="28"/>
      <c r="T24" s="349">
        <f>SUM(Q24:S24)</f>
        <v>0</v>
      </c>
      <c r="U24" s="119"/>
      <c r="V24" s="28"/>
      <c r="W24" s="28"/>
      <c r="X24" s="28"/>
      <c r="Y24" s="349">
        <f>SUM(V24:X24)</f>
        <v>0</v>
      </c>
      <c r="Z24" s="373">
        <f>T24+Y24</f>
        <v>0</v>
      </c>
      <c r="AA24" s="119"/>
      <c r="AB24" s="28"/>
      <c r="AC24" s="28"/>
      <c r="AD24" s="28"/>
      <c r="AE24" s="349">
        <f>SUM(AB24:AD24)</f>
        <v>0</v>
      </c>
      <c r="AF24" s="119"/>
      <c r="AG24" s="28"/>
      <c r="AH24" s="28"/>
      <c r="AI24" s="28"/>
      <c r="AJ24" s="349">
        <f>SUM(AG24:AI24)</f>
        <v>0</v>
      </c>
      <c r="AK24" s="373">
        <f>AE24+AJ24</f>
        <v>0</v>
      </c>
    </row>
    <row r="25" spans="1:37" s="29" customFormat="1" ht="13.5" customHeight="1" hidden="1">
      <c r="A25" s="91" t="s">
        <v>422</v>
      </c>
      <c r="B25" s="32" t="s">
        <v>646</v>
      </c>
      <c r="C25" s="34" t="s">
        <v>647</v>
      </c>
      <c r="D25" s="28">
        <f>O25+Z25+AK25</f>
        <v>0</v>
      </c>
      <c r="E25" s="99"/>
      <c r="F25" s="28"/>
      <c r="G25" s="28"/>
      <c r="H25" s="28"/>
      <c r="I25" s="349">
        <f t="shared" si="9"/>
        <v>0</v>
      </c>
      <c r="J25" s="99"/>
      <c r="K25" s="28"/>
      <c r="L25" s="28"/>
      <c r="M25" s="28"/>
      <c r="N25" s="349">
        <f>SUM(K25:M25)</f>
        <v>0</v>
      </c>
      <c r="O25" s="373">
        <f>I25+N25</f>
        <v>0</v>
      </c>
      <c r="P25" s="99"/>
      <c r="Q25" s="28"/>
      <c r="R25" s="28"/>
      <c r="S25" s="28"/>
      <c r="T25" s="349">
        <f>SUM(Q25:S25)</f>
        <v>0</v>
      </c>
      <c r="U25" s="99"/>
      <c r="V25" s="28"/>
      <c r="W25" s="28"/>
      <c r="X25" s="28"/>
      <c r="Y25" s="349">
        <f>SUM(V25:X25)</f>
        <v>0</v>
      </c>
      <c r="Z25" s="373">
        <f>T25+Y25</f>
        <v>0</v>
      </c>
      <c r="AA25" s="119"/>
      <c r="AB25" s="28"/>
      <c r="AC25" s="28"/>
      <c r="AD25" s="28"/>
      <c r="AE25" s="349">
        <f>SUM(AB25:AD25)</f>
        <v>0</v>
      </c>
      <c r="AF25" s="119"/>
      <c r="AG25" s="28"/>
      <c r="AH25" s="28"/>
      <c r="AI25" s="28"/>
      <c r="AJ25" s="349">
        <f>SUM(AG25:AI25)</f>
        <v>0</v>
      </c>
      <c r="AK25" s="373">
        <f>AE25+AJ25</f>
        <v>0</v>
      </c>
    </row>
    <row r="26" spans="1:37" s="29" customFormat="1" ht="13.5" customHeight="1" hidden="1">
      <c r="A26" s="91" t="s">
        <v>425</v>
      </c>
      <c r="B26" s="32" t="s">
        <v>648</v>
      </c>
      <c r="C26" s="34" t="s">
        <v>649</v>
      </c>
      <c r="D26" s="28">
        <f>O26+Z26+AK26</f>
        <v>0</v>
      </c>
      <c r="E26" s="99"/>
      <c r="F26" s="28"/>
      <c r="G26" s="28"/>
      <c r="H26" s="28"/>
      <c r="I26" s="349">
        <f t="shared" si="9"/>
        <v>0</v>
      </c>
      <c r="J26" s="99"/>
      <c r="K26" s="28"/>
      <c r="L26" s="28"/>
      <c r="M26" s="28"/>
      <c r="N26" s="349">
        <f>SUM(K26:M26)</f>
        <v>0</v>
      </c>
      <c r="O26" s="373">
        <f>I26+N26</f>
        <v>0</v>
      </c>
      <c r="P26" s="99"/>
      <c r="Q26" s="28"/>
      <c r="R26" s="28"/>
      <c r="S26" s="28"/>
      <c r="T26" s="349">
        <f>SUM(Q26:S26)</f>
        <v>0</v>
      </c>
      <c r="U26" s="99"/>
      <c r="V26" s="28"/>
      <c r="W26" s="28"/>
      <c r="X26" s="28"/>
      <c r="Y26" s="349">
        <f>SUM(V26:X26)</f>
        <v>0</v>
      </c>
      <c r="Z26" s="373">
        <f>T26+Y26</f>
        <v>0</v>
      </c>
      <c r="AA26" s="119"/>
      <c r="AB26" s="28"/>
      <c r="AC26" s="28"/>
      <c r="AD26" s="28"/>
      <c r="AE26" s="349">
        <f>SUM(AB26:AD26)</f>
        <v>0</v>
      </c>
      <c r="AF26" s="119"/>
      <c r="AG26" s="28"/>
      <c r="AH26" s="28"/>
      <c r="AI26" s="28"/>
      <c r="AJ26" s="349">
        <f>SUM(AG26:AI26)</f>
        <v>0</v>
      </c>
      <c r="AK26" s="373">
        <f>AE26+AJ26</f>
        <v>0</v>
      </c>
    </row>
    <row r="27" spans="1:37" s="29" customFormat="1" ht="13.5" customHeight="1" hidden="1">
      <c r="A27" s="91" t="s">
        <v>428</v>
      </c>
      <c r="B27" s="32" t="s">
        <v>104</v>
      </c>
      <c r="C27" s="34" t="s">
        <v>650</v>
      </c>
      <c r="D27" s="28">
        <f>O27+Z27+AK27</f>
        <v>0</v>
      </c>
      <c r="E27" s="99"/>
      <c r="F27" s="28"/>
      <c r="G27" s="28"/>
      <c r="H27" s="28"/>
      <c r="I27" s="349">
        <f t="shared" si="9"/>
        <v>0</v>
      </c>
      <c r="J27" s="99"/>
      <c r="K27" s="28"/>
      <c r="L27" s="28"/>
      <c r="M27" s="28"/>
      <c r="N27" s="349">
        <f>SUM(K27:M27)</f>
        <v>0</v>
      </c>
      <c r="O27" s="373">
        <f>I27+N27</f>
        <v>0</v>
      </c>
      <c r="P27" s="99"/>
      <c r="Q27" s="28"/>
      <c r="R27" s="28"/>
      <c r="S27" s="28"/>
      <c r="T27" s="349">
        <f>SUM(Q27:S27)</f>
        <v>0</v>
      </c>
      <c r="U27" s="99"/>
      <c r="V27" s="28"/>
      <c r="W27" s="28"/>
      <c r="X27" s="28"/>
      <c r="Y27" s="349">
        <f>SUM(V27:X27)</f>
        <v>0</v>
      </c>
      <c r="Z27" s="373">
        <f>T27+Y27</f>
        <v>0</v>
      </c>
      <c r="AA27" s="119"/>
      <c r="AB27" s="28"/>
      <c r="AC27" s="28"/>
      <c r="AD27" s="28"/>
      <c r="AE27" s="349">
        <f>SUM(AB27:AD27)</f>
        <v>0</v>
      </c>
      <c r="AF27" s="119"/>
      <c r="AG27" s="28"/>
      <c r="AH27" s="28"/>
      <c r="AI27" s="28"/>
      <c r="AJ27" s="349">
        <f>SUM(AG27:AI27)</f>
        <v>0</v>
      </c>
      <c r="AK27" s="373">
        <f>AE27+AJ27</f>
        <v>0</v>
      </c>
    </row>
    <row r="28" spans="1:37" ht="13.5" customHeight="1">
      <c r="A28" s="84" t="s">
        <v>431</v>
      </c>
      <c r="B28" s="85" t="s">
        <v>651</v>
      </c>
      <c r="C28" s="86" t="s">
        <v>652</v>
      </c>
      <c r="D28" s="104">
        <f>SUM(D23:D27)</f>
        <v>0</v>
      </c>
      <c r="F28" s="104">
        <f>SUM(F23:F27)</f>
        <v>0</v>
      </c>
      <c r="G28" s="104">
        <f>SUM(G23:G27)</f>
        <v>0</v>
      </c>
      <c r="H28" s="104">
        <f>SUM(H23:H27)</f>
        <v>0</v>
      </c>
      <c r="I28" s="104">
        <f>SUM(I23:I27)</f>
        <v>0</v>
      </c>
      <c r="K28" s="104">
        <f>SUM(K23:K27)</f>
        <v>0</v>
      </c>
      <c r="L28" s="104">
        <f>SUM(L23:L27)</f>
        <v>0</v>
      </c>
      <c r="M28" s="104">
        <f>SUM(M23:M27)</f>
        <v>0</v>
      </c>
      <c r="N28" s="104">
        <f>SUM(N23:N27)</f>
        <v>0</v>
      </c>
      <c r="O28" s="104">
        <f>SUM(O23:O27)</f>
        <v>0</v>
      </c>
      <c r="Q28" s="104">
        <f>SUM(Q23:Q27)</f>
        <v>0</v>
      </c>
      <c r="R28" s="104">
        <f>SUM(R23:R27)</f>
        <v>0</v>
      </c>
      <c r="S28" s="104">
        <f>SUM(S23:S27)</f>
        <v>0</v>
      </c>
      <c r="T28" s="104">
        <f>SUM(T23:T27)</f>
        <v>0</v>
      </c>
      <c r="V28" s="104">
        <f>SUM(V23:V27)</f>
        <v>0</v>
      </c>
      <c r="W28" s="104">
        <f>SUM(W23:W27)</f>
        <v>0</v>
      </c>
      <c r="X28" s="104">
        <f>SUM(X23:X27)</f>
        <v>0</v>
      </c>
      <c r="Y28" s="104">
        <f>SUM(Y23:Y27)</f>
        <v>0</v>
      </c>
      <c r="Z28" s="104">
        <f>SUM(Z23:Z27)</f>
        <v>0</v>
      </c>
      <c r="AB28" s="104">
        <f>SUM(AB23:AB27)</f>
        <v>0</v>
      </c>
      <c r="AC28" s="104">
        <f>SUM(AC23:AC27)</f>
        <v>0</v>
      </c>
      <c r="AD28" s="104">
        <f>SUM(AD23:AD27)</f>
        <v>0</v>
      </c>
      <c r="AE28" s="104">
        <f>SUM(AE23:AE27)</f>
        <v>0</v>
      </c>
      <c r="AG28" s="104">
        <f>SUM(AG23:AG27)</f>
        <v>0</v>
      </c>
      <c r="AH28" s="104">
        <f>SUM(AH23:AH27)</f>
        <v>0</v>
      </c>
      <c r="AI28" s="104">
        <f>SUM(AI23:AI27)</f>
        <v>0</v>
      </c>
      <c r="AJ28" s="104">
        <f>SUM(AJ23:AJ27)</f>
        <v>0</v>
      </c>
      <c r="AK28" s="104">
        <f>SUM(AK23:AK27)</f>
        <v>0</v>
      </c>
    </row>
    <row r="29" spans="1:37" s="29" customFormat="1" ht="13.5" customHeight="1" hidden="1">
      <c r="A29" s="91" t="s">
        <v>434</v>
      </c>
      <c r="B29" s="32" t="s">
        <v>653</v>
      </c>
      <c r="C29" s="34" t="s">
        <v>654</v>
      </c>
      <c r="D29" s="343">
        <f>O29+Z29+AK29</f>
        <v>0</v>
      </c>
      <c r="E29" s="98"/>
      <c r="F29" s="343"/>
      <c r="G29" s="343"/>
      <c r="H29" s="343"/>
      <c r="I29" s="349">
        <f t="shared" si="9"/>
        <v>0</v>
      </c>
      <c r="J29" s="98"/>
      <c r="K29" s="343"/>
      <c r="L29" s="343"/>
      <c r="M29" s="343"/>
      <c r="N29" s="349">
        <f>SUM(K29:M29)</f>
        <v>0</v>
      </c>
      <c r="O29" s="373">
        <f>I29+N29</f>
        <v>0</v>
      </c>
      <c r="P29" s="99"/>
      <c r="Q29" s="343"/>
      <c r="R29" s="343"/>
      <c r="S29" s="343"/>
      <c r="T29" s="349">
        <f>SUM(Q29:S29)</f>
        <v>0</v>
      </c>
      <c r="U29" s="98"/>
      <c r="V29" s="343"/>
      <c r="W29" s="343"/>
      <c r="X29" s="343"/>
      <c r="Y29" s="349">
        <f>SUM(V29:X29)</f>
        <v>0</v>
      </c>
      <c r="Z29" s="373">
        <f>T29+Y29</f>
        <v>0</v>
      </c>
      <c r="AA29" s="119"/>
      <c r="AB29" s="343"/>
      <c r="AC29" s="343"/>
      <c r="AD29" s="343"/>
      <c r="AE29" s="349">
        <f>SUM(AB29:AD29)</f>
        <v>0</v>
      </c>
      <c r="AF29" s="119"/>
      <c r="AG29" s="343"/>
      <c r="AH29" s="343"/>
      <c r="AI29" s="343"/>
      <c r="AJ29" s="349">
        <f>SUM(AG29:AI29)</f>
        <v>0</v>
      </c>
      <c r="AK29" s="373">
        <f>AE29+AJ29</f>
        <v>0</v>
      </c>
    </row>
    <row r="30" spans="1:37" s="29" customFormat="1" ht="13.5" customHeight="1" hidden="1">
      <c r="A30" s="91" t="s">
        <v>437</v>
      </c>
      <c r="B30" s="32" t="s">
        <v>655</v>
      </c>
      <c r="C30" s="34" t="s">
        <v>656</v>
      </c>
      <c r="D30" s="343">
        <f>O30+Z30+AK30</f>
        <v>0</v>
      </c>
      <c r="E30" s="99"/>
      <c r="F30" s="343"/>
      <c r="G30" s="343"/>
      <c r="H30" s="343"/>
      <c r="I30" s="349">
        <f t="shared" si="9"/>
        <v>0</v>
      </c>
      <c r="J30" s="99"/>
      <c r="K30" s="343"/>
      <c r="L30" s="343"/>
      <c r="M30" s="343"/>
      <c r="N30" s="349">
        <f>SUM(K30:M30)</f>
        <v>0</v>
      </c>
      <c r="O30" s="373">
        <f>I30+N30</f>
        <v>0</v>
      </c>
      <c r="P30" s="99"/>
      <c r="Q30" s="343"/>
      <c r="R30" s="343"/>
      <c r="S30" s="343"/>
      <c r="T30" s="349">
        <f>SUM(Q30:S30)</f>
        <v>0</v>
      </c>
      <c r="U30" s="99"/>
      <c r="V30" s="343"/>
      <c r="W30" s="343"/>
      <c r="X30" s="343"/>
      <c r="Y30" s="349">
        <f>SUM(V30:X30)</f>
        <v>0</v>
      </c>
      <c r="Z30" s="373">
        <f>T30+Y30</f>
        <v>0</v>
      </c>
      <c r="AA30" s="119"/>
      <c r="AB30" s="343"/>
      <c r="AC30" s="343"/>
      <c r="AD30" s="343"/>
      <c r="AE30" s="349">
        <f>SUM(AB30:AD30)</f>
        <v>0</v>
      </c>
      <c r="AF30" s="119"/>
      <c r="AG30" s="343"/>
      <c r="AH30" s="343"/>
      <c r="AI30" s="343"/>
      <c r="AJ30" s="349">
        <f>SUM(AG30:AI30)</f>
        <v>0</v>
      </c>
      <c r="AK30" s="373">
        <f>AE30+AJ30</f>
        <v>0</v>
      </c>
    </row>
    <row r="31" spans="1:37" s="105" customFormat="1" ht="13.5" customHeight="1">
      <c r="A31" s="94" t="s">
        <v>440</v>
      </c>
      <c r="B31" s="96" t="s">
        <v>657</v>
      </c>
      <c r="C31" s="102" t="s">
        <v>658</v>
      </c>
      <c r="D31" s="56">
        <f>D29+D30</f>
        <v>0</v>
      </c>
      <c r="E31" s="98"/>
      <c r="F31" s="56">
        <f>F29+F30</f>
        <v>0</v>
      </c>
      <c r="G31" s="56">
        <f>G29+G30</f>
        <v>0</v>
      </c>
      <c r="H31" s="56">
        <f>H29+H30</f>
        <v>0</v>
      </c>
      <c r="I31" s="662">
        <f>I29+I30</f>
        <v>0</v>
      </c>
      <c r="J31" s="98"/>
      <c r="K31" s="56">
        <f>K29+K30</f>
        <v>0</v>
      </c>
      <c r="L31" s="56">
        <f>L29+L30</f>
        <v>0</v>
      </c>
      <c r="M31" s="56">
        <f>M29+M30</f>
        <v>0</v>
      </c>
      <c r="N31" s="662">
        <f>N29+N30</f>
        <v>0</v>
      </c>
      <c r="O31" s="663">
        <f>O29+O30</f>
        <v>0</v>
      </c>
      <c r="Q31" s="56">
        <f>Q29+Q30</f>
        <v>0</v>
      </c>
      <c r="R31" s="56">
        <f>R29+R30</f>
        <v>0</v>
      </c>
      <c r="S31" s="56">
        <f>S29+S30</f>
        <v>0</v>
      </c>
      <c r="T31" s="662">
        <f>T29+T30</f>
        <v>0</v>
      </c>
      <c r="U31" s="98"/>
      <c r="V31" s="56">
        <f>V29+V30</f>
        <v>0</v>
      </c>
      <c r="W31" s="56">
        <f>W29+W30</f>
        <v>0</v>
      </c>
      <c r="X31" s="56">
        <f>X29+X30</f>
        <v>0</v>
      </c>
      <c r="Y31" s="662">
        <f>Y29+Y30</f>
        <v>0</v>
      </c>
      <c r="Z31" s="663">
        <f>Z29+Z30</f>
        <v>0</v>
      </c>
      <c r="AA31" s="106"/>
      <c r="AB31" s="56">
        <f>AB29+AB30</f>
        <v>0</v>
      </c>
      <c r="AC31" s="56">
        <f>AC29+AC30</f>
        <v>0</v>
      </c>
      <c r="AD31" s="56">
        <f>AD29+AD30</f>
        <v>0</v>
      </c>
      <c r="AE31" s="662">
        <f>AE29+AE30</f>
        <v>0</v>
      </c>
      <c r="AF31" s="106"/>
      <c r="AG31" s="56">
        <f>AG29+AG30</f>
        <v>0</v>
      </c>
      <c r="AH31" s="56">
        <f>AH29+AH30</f>
        <v>0</v>
      </c>
      <c r="AI31" s="56">
        <f>AI29+AI30</f>
        <v>0</v>
      </c>
      <c r="AJ31" s="662">
        <f>AJ29+AJ30</f>
        <v>0</v>
      </c>
      <c r="AK31" s="663">
        <f>AK29+AK30</f>
        <v>0</v>
      </c>
    </row>
    <row r="32" spans="1:37" ht="13.5" customHeight="1" hidden="1">
      <c r="A32" s="376" t="s">
        <v>443</v>
      </c>
      <c r="B32" s="378" t="s">
        <v>659</v>
      </c>
      <c r="C32" s="390" t="s">
        <v>660</v>
      </c>
      <c r="D32" s="379">
        <f aca="true" t="shared" si="10" ref="D32:D39">O32+Z32+AK32</f>
        <v>0</v>
      </c>
      <c r="F32" s="379"/>
      <c r="G32" s="379"/>
      <c r="H32" s="379"/>
      <c r="I32" s="380">
        <f t="shared" si="9"/>
        <v>0</v>
      </c>
      <c r="K32" s="379"/>
      <c r="L32" s="379"/>
      <c r="M32" s="379"/>
      <c r="N32" s="380">
        <f aca="true" t="shared" si="11" ref="N32:N39">SUM(K32:M32)</f>
        <v>0</v>
      </c>
      <c r="O32" s="384">
        <f aca="true" t="shared" si="12" ref="O32:O39">I32+N32</f>
        <v>0</v>
      </c>
      <c r="Q32" s="379"/>
      <c r="R32" s="379"/>
      <c r="S32" s="379"/>
      <c r="T32" s="380">
        <f aca="true" t="shared" si="13" ref="T32:T39">SUM(Q32:S32)</f>
        <v>0</v>
      </c>
      <c r="V32" s="379"/>
      <c r="W32" s="379"/>
      <c r="X32" s="379"/>
      <c r="Y32" s="380">
        <f aca="true" t="shared" si="14" ref="Y32:Y39">SUM(V32:X32)</f>
        <v>0</v>
      </c>
      <c r="Z32" s="373">
        <f aca="true" t="shared" si="15" ref="Z32:Z39">T32+Y32</f>
        <v>0</v>
      </c>
      <c r="AB32" s="379"/>
      <c r="AC32" s="379"/>
      <c r="AD32" s="379"/>
      <c r="AE32" s="380">
        <f aca="true" t="shared" si="16" ref="AE32:AE39">SUM(AB32:AD32)</f>
        <v>0</v>
      </c>
      <c r="AG32" s="379"/>
      <c r="AH32" s="379"/>
      <c r="AI32" s="379"/>
      <c r="AJ32" s="380">
        <f aca="true" t="shared" si="17" ref="AJ32:AJ39">SUM(AG32:AI32)</f>
        <v>0</v>
      </c>
      <c r="AK32" s="373">
        <f aca="true" t="shared" si="18" ref="AK32:AK39">AE32+AJ32</f>
        <v>0</v>
      </c>
    </row>
    <row r="33" spans="1:37" ht="13.5" customHeight="1" hidden="1">
      <c r="A33" s="376" t="s">
        <v>446</v>
      </c>
      <c r="B33" s="378" t="s">
        <v>661</v>
      </c>
      <c r="C33" s="390" t="s">
        <v>662</v>
      </c>
      <c r="D33" s="379">
        <f t="shared" si="10"/>
        <v>0</v>
      </c>
      <c r="F33" s="379"/>
      <c r="G33" s="379"/>
      <c r="H33" s="379"/>
      <c r="I33" s="380">
        <f t="shared" si="9"/>
        <v>0</v>
      </c>
      <c r="K33" s="379"/>
      <c r="L33" s="379"/>
      <c r="M33" s="379"/>
      <c r="N33" s="380">
        <f t="shared" si="11"/>
        <v>0</v>
      </c>
      <c r="O33" s="384">
        <f t="shared" si="12"/>
        <v>0</v>
      </c>
      <c r="Q33" s="379"/>
      <c r="R33" s="379"/>
      <c r="S33" s="379"/>
      <c r="T33" s="380">
        <f t="shared" si="13"/>
        <v>0</v>
      </c>
      <c r="V33" s="379"/>
      <c r="W33" s="379"/>
      <c r="X33" s="379"/>
      <c r="Y33" s="380">
        <f t="shared" si="14"/>
        <v>0</v>
      </c>
      <c r="Z33" s="373">
        <f t="shared" si="15"/>
        <v>0</v>
      </c>
      <c r="AB33" s="379"/>
      <c r="AC33" s="379"/>
      <c r="AD33" s="379"/>
      <c r="AE33" s="380">
        <f t="shared" si="16"/>
        <v>0</v>
      </c>
      <c r="AG33" s="379"/>
      <c r="AH33" s="379"/>
      <c r="AI33" s="379"/>
      <c r="AJ33" s="380">
        <f t="shared" si="17"/>
        <v>0</v>
      </c>
      <c r="AK33" s="373">
        <f t="shared" si="18"/>
        <v>0</v>
      </c>
    </row>
    <row r="34" spans="1:37" ht="13.5" customHeight="1" hidden="1">
      <c r="A34" s="376" t="s">
        <v>449</v>
      </c>
      <c r="B34" s="378" t="s">
        <v>663</v>
      </c>
      <c r="C34" s="390" t="s">
        <v>664</v>
      </c>
      <c r="D34" s="379">
        <f t="shared" si="10"/>
        <v>0</v>
      </c>
      <c r="F34" s="379"/>
      <c r="G34" s="379"/>
      <c r="H34" s="379"/>
      <c r="I34" s="380">
        <f t="shared" si="9"/>
        <v>0</v>
      </c>
      <c r="K34" s="379"/>
      <c r="L34" s="379"/>
      <c r="M34" s="379"/>
      <c r="N34" s="380">
        <f t="shared" si="11"/>
        <v>0</v>
      </c>
      <c r="O34" s="384">
        <f t="shared" si="12"/>
        <v>0</v>
      </c>
      <c r="Q34" s="379"/>
      <c r="R34" s="379"/>
      <c r="S34" s="379"/>
      <c r="T34" s="380">
        <f t="shared" si="13"/>
        <v>0</v>
      </c>
      <c r="V34" s="379"/>
      <c r="W34" s="379"/>
      <c r="X34" s="379"/>
      <c r="Y34" s="380">
        <f t="shared" si="14"/>
        <v>0</v>
      </c>
      <c r="Z34" s="373">
        <f t="shared" si="15"/>
        <v>0</v>
      </c>
      <c r="AB34" s="379"/>
      <c r="AC34" s="379"/>
      <c r="AD34" s="379"/>
      <c r="AE34" s="380">
        <f t="shared" si="16"/>
        <v>0</v>
      </c>
      <c r="AG34" s="379"/>
      <c r="AH34" s="379"/>
      <c r="AI34" s="379"/>
      <c r="AJ34" s="380">
        <f t="shared" si="17"/>
        <v>0</v>
      </c>
      <c r="AK34" s="373">
        <f t="shared" si="18"/>
        <v>0</v>
      </c>
    </row>
    <row r="35" spans="1:37" ht="13.5" customHeight="1" hidden="1">
      <c r="A35" s="376" t="s">
        <v>452</v>
      </c>
      <c r="B35" s="378" t="s">
        <v>665</v>
      </c>
      <c r="C35" s="390" t="s">
        <v>666</v>
      </c>
      <c r="D35" s="379">
        <f t="shared" si="10"/>
        <v>0</v>
      </c>
      <c r="F35" s="379"/>
      <c r="G35" s="379"/>
      <c r="H35" s="379"/>
      <c r="I35" s="380">
        <f t="shared" si="9"/>
        <v>0</v>
      </c>
      <c r="K35" s="379"/>
      <c r="L35" s="379"/>
      <c r="M35" s="379"/>
      <c r="N35" s="380">
        <f t="shared" si="11"/>
        <v>0</v>
      </c>
      <c r="O35" s="384">
        <f t="shared" si="12"/>
        <v>0</v>
      </c>
      <c r="Q35" s="379"/>
      <c r="R35" s="379"/>
      <c r="S35" s="379"/>
      <c r="T35" s="380">
        <f t="shared" si="13"/>
        <v>0</v>
      </c>
      <c r="V35" s="379"/>
      <c r="W35" s="379"/>
      <c r="X35" s="379"/>
      <c r="Y35" s="380">
        <f t="shared" si="14"/>
        <v>0</v>
      </c>
      <c r="Z35" s="373">
        <f t="shared" si="15"/>
        <v>0</v>
      </c>
      <c r="AB35" s="379"/>
      <c r="AC35" s="379"/>
      <c r="AD35" s="379"/>
      <c r="AE35" s="380">
        <f t="shared" si="16"/>
        <v>0</v>
      </c>
      <c r="AG35" s="379"/>
      <c r="AH35" s="379"/>
      <c r="AI35" s="379"/>
      <c r="AJ35" s="380">
        <f t="shared" si="17"/>
        <v>0</v>
      </c>
      <c r="AK35" s="373">
        <f t="shared" si="18"/>
        <v>0</v>
      </c>
    </row>
    <row r="36" spans="1:37" s="29" customFormat="1" ht="13.5" customHeight="1" hidden="1">
      <c r="A36" s="91" t="s">
        <v>454</v>
      </c>
      <c r="B36" s="32" t="s">
        <v>667</v>
      </c>
      <c r="C36" s="34" t="s">
        <v>668</v>
      </c>
      <c r="D36" s="343">
        <f t="shared" si="10"/>
        <v>0</v>
      </c>
      <c r="E36" s="99"/>
      <c r="F36" s="343"/>
      <c r="G36" s="343"/>
      <c r="H36" s="343"/>
      <c r="I36" s="349">
        <f t="shared" si="9"/>
        <v>0</v>
      </c>
      <c r="J36" s="99"/>
      <c r="K36" s="343"/>
      <c r="L36" s="343"/>
      <c r="M36" s="343"/>
      <c r="N36" s="349">
        <f t="shared" si="11"/>
        <v>0</v>
      </c>
      <c r="O36" s="373">
        <f t="shared" si="12"/>
        <v>0</v>
      </c>
      <c r="P36" s="99"/>
      <c r="Q36" s="343"/>
      <c r="R36" s="343"/>
      <c r="S36" s="343"/>
      <c r="T36" s="349">
        <f t="shared" si="13"/>
        <v>0</v>
      </c>
      <c r="U36" s="99"/>
      <c r="V36" s="343"/>
      <c r="W36" s="343"/>
      <c r="X36" s="343"/>
      <c r="Y36" s="349">
        <f t="shared" si="14"/>
        <v>0</v>
      </c>
      <c r="Z36" s="373">
        <f t="shared" si="15"/>
        <v>0</v>
      </c>
      <c r="AA36" s="119"/>
      <c r="AB36" s="343"/>
      <c r="AC36" s="343"/>
      <c r="AD36" s="343"/>
      <c r="AE36" s="349">
        <f t="shared" si="16"/>
        <v>0</v>
      </c>
      <c r="AF36" s="119"/>
      <c r="AG36" s="343"/>
      <c r="AH36" s="343"/>
      <c r="AI36" s="343"/>
      <c r="AJ36" s="349">
        <f t="shared" si="17"/>
        <v>0</v>
      </c>
      <c r="AK36" s="373">
        <f t="shared" si="18"/>
        <v>0</v>
      </c>
    </row>
    <row r="37" spans="1:37" s="29" customFormat="1" ht="13.5" customHeight="1" hidden="1">
      <c r="A37" s="91" t="s">
        <v>457</v>
      </c>
      <c r="B37" s="32" t="s">
        <v>669</v>
      </c>
      <c r="C37" s="34" t="s">
        <v>670</v>
      </c>
      <c r="D37" s="343">
        <f t="shared" si="10"/>
        <v>0</v>
      </c>
      <c r="E37" s="99"/>
      <c r="F37" s="343"/>
      <c r="G37" s="343"/>
      <c r="H37" s="343"/>
      <c r="I37" s="349">
        <f t="shared" si="9"/>
        <v>0</v>
      </c>
      <c r="J37" s="99"/>
      <c r="K37" s="343"/>
      <c r="L37" s="343"/>
      <c r="M37" s="343"/>
      <c r="N37" s="349">
        <f t="shared" si="11"/>
        <v>0</v>
      </c>
      <c r="O37" s="373">
        <f t="shared" si="12"/>
        <v>0</v>
      </c>
      <c r="P37" s="99"/>
      <c r="Q37" s="343"/>
      <c r="R37" s="343"/>
      <c r="S37" s="343"/>
      <c r="T37" s="349">
        <f t="shared" si="13"/>
        <v>0</v>
      </c>
      <c r="U37" s="99"/>
      <c r="V37" s="343"/>
      <c r="W37" s="343"/>
      <c r="X37" s="343"/>
      <c r="Y37" s="349">
        <f t="shared" si="14"/>
        <v>0</v>
      </c>
      <c r="Z37" s="373">
        <f t="shared" si="15"/>
        <v>0</v>
      </c>
      <c r="AA37" s="119"/>
      <c r="AB37" s="343"/>
      <c r="AC37" s="343"/>
      <c r="AD37" s="343"/>
      <c r="AE37" s="349">
        <f t="shared" si="16"/>
        <v>0</v>
      </c>
      <c r="AF37" s="119"/>
      <c r="AG37" s="343"/>
      <c r="AH37" s="343"/>
      <c r="AI37" s="343"/>
      <c r="AJ37" s="349">
        <f t="shared" si="17"/>
        <v>0</v>
      </c>
      <c r="AK37" s="373">
        <f t="shared" si="18"/>
        <v>0</v>
      </c>
    </row>
    <row r="38" spans="1:37" s="29" customFormat="1" ht="13.5" customHeight="1" hidden="1">
      <c r="A38" s="91" t="s">
        <v>460</v>
      </c>
      <c r="B38" s="32" t="s">
        <v>671</v>
      </c>
      <c r="C38" s="34" t="s">
        <v>672</v>
      </c>
      <c r="D38" s="343">
        <f t="shared" si="10"/>
        <v>0</v>
      </c>
      <c r="E38" s="99"/>
      <c r="F38" s="343"/>
      <c r="G38" s="343"/>
      <c r="H38" s="343"/>
      <c r="I38" s="349">
        <f t="shared" si="9"/>
        <v>0</v>
      </c>
      <c r="J38" s="99"/>
      <c r="K38" s="343"/>
      <c r="L38" s="343"/>
      <c r="M38" s="343"/>
      <c r="N38" s="349">
        <f t="shared" si="11"/>
        <v>0</v>
      </c>
      <c r="O38" s="373">
        <f t="shared" si="12"/>
        <v>0</v>
      </c>
      <c r="P38" s="99"/>
      <c r="Q38" s="343"/>
      <c r="R38" s="343"/>
      <c r="S38" s="343"/>
      <c r="T38" s="349">
        <f t="shared" si="13"/>
        <v>0</v>
      </c>
      <c r="U38" s="99"/>
      <c r="V38" s="343"/>
      <c r="W38" s="343"/>
      <c r="X38" s="343"/>
      <c r="Y38" s="349">
        <f t="shared" si="14"/>
        <v>0</v>
      </c>
      <c r="Z38" s="373">
        <f t="shared" si="15"/>
        <v>0</v>
      </c>
      <c r="AA38" s="119"/>
      <c r="AB38" s="343"/>
      <c r="AC38" s="343"/>
      <c r="AD38" s="343"/>
      <c r="AE38" s="349">
        <f t="shared" si="16"/>
        <v>0</v>
      </c>
      <c r="AF38" s="119"/>
      <c r="AG38" s="343"/>
      <c r="AH38" s="343"/>
      <c r="AI38" s="343"/>
      <c r="AJ38" s="349">
        <f t="shared" si="17"/>
        <v>0</v>
      </c>
      <c r="AK38" s="373">
        <f t="shared" si="18"/>
        <v>0</v>
      </c>
    </row>
    <row r="39" spans="1:37" s="29" customFormat="1" ht="13.5" customHeight="1" hidden="1">
      <c r="A39" s="91" t="s">
        <v>463</v>
      </c>
      <c r="B39" s="32" t="s">
        <v>673</v>
      </c>
      <c r="C39" s="34" t="s">
        <v>674</v>
      </c>
      <c r="D39" s="343">
        <f t="shared" si="10"/>
        <v>0</v>
      </c>
      <c r="E39" s="99"/>
      <c r="F39" s="343"/>
      <c r="G39" s="343"/>
      <c r="H39" s="343"/>
      <c r="I39" s="349">
        <f t="shared" si="9"/>
        <v>0</v>
      </c>
      <c r="J39" s="99"/>
      <c r="K39" s="343"/>
      <c r="L39" s="343"/>
      <c r="M39" s="343"/>
      <c r="N39" s="349">
        <f t="shared" si="11"/>
        <v>0</v>
      </c>
      <c r="O39" s="373">
        <f t="shared" si="12"/>
        <v>0</v>
      </c>
      <c r="P39" s="99"/>
      <c r="Q39" s="343"/>
      <c r="R39" s="343"/>
      <c r="S39" s="343"/>
      <c r="T39" s="349">
        <f t="shared" si="13"/>
        <v>0</v>
      </c>
      <c r="U39" s="99"/>
      <c r="V39" s="343"/>
      <c r="W39" s="343"/>
      <c r="X39" s="343"/>
      <c r="Y39" s="349">
        <f t="shared" si="14"/>
        <v>0</v>
      </c>
      <c r="Z39" s="373">
        <f t="shared" si="15"/>
        <v>0</v>
      </c>
      <c r="AA39" s="119"/>
      <c r="AB39" s="343"/>
      <c r="AC39" s="343"/>
      <c r="AD39" s="343"/>
      <c r="AE39" s="349">
        <f t="shared" si="16"/>
        <v>0</v>
      </c>
      <c r="AF39" s="119"/>
      <c r="AG39" s="343"/>
      <c r="AH39" s="343"/>
      <c r="AI39" s="343"/>
      <c r="AJ39" s="349">
        <f t="shared" si="17"/>
        <v>0</v>
      </c>
      <c r="AK39" s="373">
        <f t="shared" si="18"/>
        <v>0</v>
      </c>
    </row>
    <row r="40" spans="1:37" s="98" customFormat="1" ht="13.5" customHeight="1">
      <c r="A40" s="94" t="s">
        <v>466</v>
      </c>
      <c r="B40" s="96" t="s">
        <v>675</v>
      </c>
      <c r="C40" s="102" t="s">
        <v>676</v>
      </c>
      <c r="D40" s="56">
        <f>D35+D36+D37+D38+D39</f>
        <v>0</v>
      </c>
      <c r="E40" s="105"/>
      <c r="F40" s="56">
        <f>F35+F36+F37+F38+F39</f>
        <v>0</v>
      </c>
      <c r="G40" s="56">
        <f>G35+G36+G37+G38+G39</f>
        <v>0</v>
      </c>
      <c r="H40" s="56">
        <f>H35+H36+H37+H38+H39</f>
        <v>0</v>
      </c>
      <c r="I40" s="662">
        <f>I35+I36+I37+I38+I39</f>
        <v>0</v>
      </c>
      <c r="J40" s="105"/>
      <c r="K40" s="56">
        <f>K35+K36+K37+K38+K39</f>
        <v>0</v>
      </c>
      <c r="L40" s="56">
        <f>L35+L36+L37+L38+L39</f>
        <v>0</v>
      </c>
      <c r="M40" s="56">
        <f>M35+M36+M37+M38+M39</f>
        <v>0</v>
      </c>
      <c r="N40" s="662">
        <f>N35+N36+N37+N38+N39</f>
        <v>0</v>
      </c>
      <c r="O40" s="663">
        <f>O35+O36+O37+O38+O39</f>
        <v>0</v>
      </c>
      <c r="Q40" s="56">
        <f>Q35+Q36+Q37+Q38+Q39</f>
        <v>0</v>
      </c>
      <c r="R40" s="56">
        <f>R35+R36+R37+R38+R39</f>
        <v>0</v>
      </c>
      <c r="S40" s="56">
        <f>S35+S36+S37+S38+S39</f>
        <v>0</v>
      </c>
      <c r="T40" s="662">
        <f>T35+T36+T37+T38+T39</f>
        <v>0</v>
      </c>
      <c r="U40" s="105"/>
      <c r="V40" s="56">
        <f>V35+V36+V37+V38+V39</f>
        <v>0</v>
      </c>
      <c r="W40" s="56">
        <f>W35+W36+W37+W38+W39</f>
        <v>0</v>
      </c>
      <c r="X40" s="56">
        <f>X35+X36+X37+X38+X39</f>
        <v>0</v>
      </c>
      <c r="Y40" s="662">
        <f>Y35+Y36+Y37+Y38+Y39</f>
        <v>0</v>
      </c>
      <c r="Z40" s="663">
        <f>Z35+Z36+Z37+Z38+Z39</f>
        <v>0</v>
      </c>
      <c r="AA40" s="103"/>
      <c r="AB40" s="56">
        <f>AB35+AB36+AB37+AB38+AB39</f>
        <v>0</v>
      </c>
      <c r="AC40" s="56">
        <f>AC35+AC36+AC37+AC38+AC39</f>
        <v>0</v>
      </c>
      <c r="AD40" s="56">
        <f>AD35+AD36+AD37+AD38+AD39</f>
        <v>0</v>
      </c>
      <c r="AE40" s="662">
        <f>AE35+AE36+AE37+AE38+AE39</f>
        <v>0</v>
      </c>
      <c r="AF40" s="103"/>
      <c r="AG40" s="56">
        <f>AG35+AG36+AG37+AG38+AG39</f>
        <v>0</v>
      </c>
      <c r="AH40" s="56">
        <f>AH35+AH36+AH37+AH38+AH39</f>
        <v>0</v>
      </c>
      <c r="AI40" s="56">
        <f>AI35+AI36+AI37+AI38+AI39</f>
        <v>0</v>
      </c>
      <c r="AJ40" s="662">
        <f>AJ35+AJ36+AJ37+AJ38+AJ39</f>
        <v>0</v>
      </c>
      <c r="AK40" s="663">
        <f>AK35+AK36+AK37+AK38+AK39</f>
        <v>0</v>
      </c>
    </row>
    <row r="41" spans="1:37" ht="13.5" customHeight="1" hidden="1">
      <c r="A41" s="376" t="s">
        <v>469</v>
      </c>
      <c r="B41" s="378" t="s">
        <v>677</v>
      </c>
      <c r="C41" s="390" t="s">
        <v>678</v>
      </c>
      <c r="D41" s="379">
        <f>O41+Z41+AK41</f>
        <v>0</v>
      </c>
      <c r="F41" s="379"/>
      <c r="G41" s="379"/>
      <c r="H41" s="379"/>
      <c r="I41" s="380">
        <f t="shared" si="9"/>
        <v>0</v>
      </c>
      <c r="K41" s="379"/>
      <c r="L41" s="379"/>
      <c r="M41" s="379"/>
      <c r="N41" s="380">
        <f>SUM(K41:M41)</f>
        <v>0</v>
      </c>
      <c r="O41" s="384">
        <f>I41+N41</f>
        <v>0</v>
      </c>
      <c r="Q41" s="379"/>
      <c r="R41" s="379"/>
      <c r="S41" s="379"/>
      <c r="T41" s="380">
        <f>SUM(Q41:S41)</f>
        <v>0</v>
      </c>
      <c r="V41" s="379"/>
      <c r="W41" s="379"/>
      <c r="X41" s="379"/>
      <c r="Y41" s="380">
        <f>SUM(V41:X41)</f>
        <v>0</v>
      </c>
      <c r="Z41" s="373">
        <f>T41+Y41</f>
        <v>0</v>
      </c>
      <c r="AB41" s="379"/>
      <c r="AC41" s="379"/>
      <c r="AD41" s="379"/>
      <c r="AE41" s="380">
        <f>SUM(AB41:AD41)</f>
        <v>0</v>
      </c>
      <c r="AG41" s="379"/>
      <c r="AH41" s="379"/>
      <c r="AI41" s="379"/>
      <c r="AJ41" s="380">
        <f>SUM(AG41:AI41)</f>
        <v>0</v>
      </c>
      <c r="AK41" s="373">
        <f>AE41+AJ41</f>
        <v>0</v>
      </c>
    </row>
    <row r="42" spans="1:37" ht="13.5" customHeight="1">
      <c r="A42" s="84" t="s">
        <v>471</v>
      </c>
      <c r="B42" s="85" t="s">
        <v>679</v>
      </c>
      <c r="C42" s="86" t="s">
        <v>680</v>
      </c>
      <c r="D42" s="104">
        <f>D31+D32+D33+D34+D40+D41</f>
        <v>0</v>
      </c>
      <c r="F42" s="104">
        <f>F31+F32+F33+F34+F40+F41</f>
        <v>0</v>
      </c>
      <c r="G42" s="104">
        <f>G31+G32+G33+G34+G40+G41</f>
        <v>0</v>
      </c>
      <c r="H42" s="104">
        <f>H31+H32+H33+H34+H40+H41</f>
        <v>0</v>
      </c>
      <c r="I42" s="104">
        <f>I31+I32+I33+I34+I40+I41</f>
        <v>0</v>
      </c>
      <c r="K42" s="104">
        <f>K31+K32+K33+K34+K40+K41</f>
        <v>0</v>
      </c>
      <c r="L42" s="104">
        <f>L31+L32+L33+L34+L40+L41</f>
        <v>0</v>
      </c>
      <c r="M42" s="104">
        <f>M31+M32+M33+M34+M40+M41</f>
        <v>0</v>
      </c>
      <c r="N42" s="104">
        <f>N31+N32+N33+N34+N40+N41</f>
        <v>0</v>
      </c>
      <c r="O42" s="104">
        <f>O31+O32+O33+O34+O40+O41</f>
        <v>0</v>
      </c>
      <c r="Q42" s="104">
        <f>Q31+Q32+Q33+Q34+Q40+Q41</f>
        <v>0</v>
      </c>
      <c r="R42" s="104">
        <f>R31+R32+R33+R34+R40+R41</f>
        <v>0</v>
      </c>
      <c r="S42" s="104">
        <f>S31+S32+S33+S34+S40+S41</f>
        <v>0</v>
      </c>
      <c r="T42" s="104">
        <f>T31+T32+T33+T34+T40+T41</f>
        <v>0</v>
      </c>
      <c r="V42" s="104">
        <f>V31+V32+V33+V34+V40+V41</f>
        <v>0</v>
      </c>
      <c r="W42" s="104">
        <f>W31+W32+W33+W34+W40+W41</f>
        <v>0</v>
      </c>
      <c r="X42" s="104">
        <f>X31+X32+X33+X34+X40+X41</f>
        <v>0</v>
      </c>
      <c r="Y42" s="104">
        <f>Y31+Y32+Y33+Y34+Y40+Y41</f>
        <v>0</v>
      </c>
      <c r="Z42" s="104">
        <f>Z31+Z32+Z33+Z34+Z40+Z41</f>
        <v>0</v>
      </c>
      <c r="AB42" s="104">
        <f>AB31+AB32+AB33+AB34+AB40+AB41</f>
        <v>0</v>
      </c>
      <c r="AC42" s="104">
        <f>AC31+AC32+AC33+AC34+AC40+AC41</f>
        <v>0</v>
      </c>
      <c r="AD42" s="104">
        <f>AD31+AD32+AD33+AD34+AD40+AD41</f>
        <v>0</v>
      </c>
      <c r="AE42" s="104">
        <f>AE31+AE32+AE33+AE34+AE40+AE41</f>
        <v>0</v>
      </c>
      <c r="AG42" s="104">
        <f>AG31+AG32+AG33+AG34+AG40+AG41</f>
        <v>0</v>
      </c>
      <c r="AH42" s="104">
        <f>AH31+AH32+AH33+AH34+AH40+AH41</f>
        <v>0</v>
      </c>
      <c r="AI42" s="104">
        <f>AI31+AI32+AI33+AI34+AI40+AI41</f>
        <v>0</v>
      </c>
      <c r="AJ42" s="104">
        <f>AJ31+AJ32+AJ33+AJ34+AJ40+AJ41</f>
        <v>0</v>
      </c>
      <c r="AK42" s="104">
        <f>AK31+AK32+AK33+AK34+AK40+AK41</f>
        <v>0</v>
      </c>
    </row>
    <row r="43" spans="1:37" ht="13.5" customHeight="1" hidden="1">
      <c r="A43" s="376" t="s">
        <v>473</v>
      </c>
      <c r="B43" s="377" t="s">
        <v>681</v>
      </c>
      <c r="C43" s="390" t="s">
        <v>682</v>
      </c>
      <c r="D43" s="383">
        <f aca="true" t="shared" si="19" ref="D43:D51">O43+Z43+AK43</f>
        <v>0</v>
      </c>
      <c r="F43" s="383"/>
      <c r="G43" s="383"/>
      <c r="H43" s="383"/>
      <c r="I43" s="380">
        <f t="shared" si="9"/>
        <v>0</v>
      </c>
      <c r="K43" s="383"/>
      <c r="L43" s="383"/>
      <c r="M43" s="383"/>
      <c r="N43" s="380">
        <f aca="true" t="shared" si="20" ref="N43:N51">SUM(K43:M43)</f>
        <v>0</v>
      </c>
      <c r="O43" s="373">
        <f>I43+N43</f>
        <v>0</v>
      </c>
      <c r="Q43" s="383"/>
      <c r="R43" s="383"/>
      <c r="S43" s="383"/>
      <c r="T43" s="380">
        <f aca="true" t="shared" si="21" ref="T43:T51">SUM(Q43:S43)</f>
        <v>0</v>
      </c>
      <c r="V43" s="383"/>
      <c r="W43" s="383"/>
      <c r="X43" s="383"/>
      <c r="Y43" s="380">
        <f aca="true" t="shared" si="22" ref="Y43:Y51">SUM(V43:X43)</f>
        <v>0</v>
      </c>
      <c r="Z43" s="373">
        <f aca="true" t="shared" si="23" ref="Z43:Z51">T43+Y43</f>
        <v>0</v>
      </c>
      <c r="AB43" s="383"/>
      <c r="AC43" s="383"/>
      <c r="AD43" s="383"/>
      <c r="AE43" s="380">
        <f aca="true" t="shared" si="24" ref="AE43:AE51">SUM(AB43:AD43)</f>
        <v>0</v>
      </c>
      <c r="AG43" s="383"/>
      <c r="AH43" s="383"/>
      <c r="AI43" s="383"/>
      <c r="AJ43" s="380">
        <f aca="true" t="shared" si="25" ref="AJ43:AJ51">SUM(AG43:AI43)</f>
        <v>0</v>
      </c>
      <c r="AK43" s="373">
        <f aca="true" t="shared" si="26" ref="AK43:AK51">AE43+AJ43</f>
        <v>0</v>
      </c>
    </row>
    <row r="44" spans="1:37" ht="13.5" customHeight="1" hidden="1">
      <c r="A44" s="376" t="s">
        <v>475</v>
      </c>
      <c r="B44" s="377" t="s">
        <v>683</v>
      </c>
      <c r="C44" s="390" t="s">
        <v>684</v>
      </c>
      <c r="D44" s="383">
        <f t="shared" si="19"/>
        <v>0</v>
      </c>
      <c r="F44" s="383"/>
      <c r="G44" s="383"/>
      <c r="H44" s="383"/>
      <c r="I44" s="380">
        <f t="shared" si="9"/>
        <v>0</v>
      </c>
      <c r="K44" s="383"/>
      <c r="L44" s="383"/>
      <c r="M44" s="383"/>
      <c r="N44" s="380">
        <f t="shared" si="20"/>
        <v>0</v>
      </c>
      <c r="O44" s="373">
        <f>I44+N44</f>
        <v>0</v>
      </c>
      <c r="Q44" s="383"/>
      <c r="R44" s="383"/>
      <c r="S44" s="383"/>
      <c r="T44" s="380">
        <f t="shared" si="21"/>
        <v>0</v>
      </c>
      <c r="V44" s="383"/>
      <c r="W44" s="383"/>
      <c r="X44" s="383"/>
      <c r="Y44" s="380">
        <f t="shared" si="22"/>
        <v>0</v>
      </c>
      <c r="Z44" s="373">
        <f t="shared" si="23"/>
        <v>0</v>
      </c>
      <c r="AB44" s="383"/>
      <c r="AC44" s="383"/>
      <c r="AD44" s="383"/>
      <c r="AE44" s="380">
        <f t="shared" si="24"/>
        <v>0</v>
      </c>
      <c r="AG44" s="383"/>
      <c r="AH44" s="383"/>
      <c r="AI44" s="383"/>
      <c r="AJ44" s="380">
        <f t="shared" si="25"/>
        <v>0</v>
      </c>
      <c r="AK44" s="373">
        <f t="shared" si="26"/>
        <v>0</v>
      </c>
    </row>
    <row r="45" spans="1:37" ht="13.5" customHeight="1" hidden="1">
      <c r="A45" s="376" t="s">
        <v>478</v>
      </c>
      <c r="B45" s="377" t="s">
        <v>111</v>
      </c>
      <c r="C45" s="390" t="s">
        <v>685</v>
      </c>
      <c r="D45" s="383">
        <f t="shared" si="19"/>
        <v>0</v>
      </c>
      <c r="F45" s="383">
        <f>'Összesített ktgvetés'!F58</f>
        <v>0</v>
      </c>
      <c r="G45" s="383">
        <v>0</v>
      </c>
      <c r="H45" s="383"/>
      <c r="I45" s="380">
        <f t="shared" si="9"/>
        <v>0</v>
      </c>
      <c r="K45" s="383">
        <f>'Összesített ktgvetés'!L58</f>
        <v>0</v>
      </c>
      <c r="L45" s="383"/>
      <c r="M45" s="383"/>
      <c r="N45" s="380">
        <f t="shared" si="20"/>
        <v>0</v>
      </c>
      <c r="O45" s="373">
        <f aca="true" t="shared" si="27" ref="O45:O51">I45+N45</f>
        <v>0</v>
      </c>
      <c r="Q45" s="383"/>
      <c r="R45" s="383"/>
      <c r="S45" s="383"/>
      <c r="T45" s="380">
        <f t="shared" si="21"/>
        <v>0</v>
      </c>
      <c r="V45" s="383"/>
      <c r="W45" s="383"/>
      <c r="X45" s="383"/>
      <c r="Y45" s="380">
        <f t="shared" si="22"/>
        <v>0</v>
      </c>
      <c r="Z45" s="373">
        <f t="shared" si="23"/>
        <v>0</v>
      </c>
      <c r="AB45" s="383">
        <f>'Összesített ktgvetés'!Z58</f>
        <v>0</v>
      </c>
      <c r="AC45" s="383"/>
      <c r="AD45" s="383"/>
      <c r="AE45" s="380">
        <f t="shared" si="24"/>
        <v>0</v>
      </c>
      <c r="AG45" s="383"/>
      <c r="AH45" s="383">
        <f>'Összesített ktgvetés'!AD58</f>
        <v>0</v>
      </c>
      <c r="AI45" s="383"/>
      <c r="AJ45" s="380">
        <f t="shared" si="25"/>
        <v>0</v>
      </c>
      <c r="AK45" s="373">
        <f t="shared" si="26"/>
        <v>0</v>
      </c>
    </row>
    <row r="46" spans="1:37" ht="13.5" customHeight="1" hidden="1">
      <c r="A46" s="376" t="s">
        <v>481</v>
      </c>
      <c r="B46" s="377" t="s">
        <v>686</v>
      </c>
      <c r="C46" s="390" t="s">
        <v>687</v>
      </c>
      <c r="D46" s="383">
        <f t="shared" si="19"/>
        <v>0</v>
      </c>
      <c r="F46" s="383"/>
      <c r="G46" s="383"/>
      <c r="H46" s="383"/>
      <c r="I46" s="380">
        <f t="shared" si="9"/>
        <v>0</v>
      </c>
      <c r="K46" s="383"/>
      <c r="L46" s="383"/>
      <c r="M46" s="383"/>
      <c r="N46" s="380">
        <f t="shared" si="20"/>
        <v>0</v>
      </c>
      <c r="O46" s="373">
        <f t="shared" si="27"/>
        <v>0</v>
      </c>
      <c r="Q46" s="383"/>
      <c r="R46" s="383"/>
      <c r="S46" s="383"/>
      <c r="T46" s="380">
        <f t="shared" si="21"/>
        <v>0</v>
      </c>
      <c r="V46" s="383"/>
      <c r="W46" s="383"/>
      <c r="X46" s="383"/>
      <c r="Y46" s="380">
        <f t="shared" si="22"/>
        <v>0</v>
      </c>
      <c r="Z46" s="373">
        <f t="shared" si="23"/>
        <v>0</v>
      </c>
      <c r="AB46" s="383"/>
      <c r="AC46" s="383"/>
      <c r="AD46" s="383"/>
      <c r="AE46" s="380">
        <f t="shared" si="24"/>
        <v>0</v>
      </c>
      <c r="AG46" s="383"/>
      <c r="AH46" s="383"/>
      <c r="AI46" s="383"/>
      <c r="AJ46" s="380">
        <f t="shared" si="25"/>
        <v>0</v>
      </c>
      <c r="AK46" s="373">
        <f t="shared" si="26"/>
        <v>0</v>
      </c>
    </row>
    <row r="47" spans="1:37" ht="13.5" customHeight="1" hidden="1">
      <c r="A47" s="376" t="s">
        <v>484</v>
      </c>
      <c r="B47" s="377" t="s">
        <v>688</v>
      </c>
      <c r="C47" s="390" t="s">
        <v>689</v>
      </c>
      <c r="D47" s="383">
        <f t="shared" si="19"/>
        <v>0</v>
      </c>
      <c r="F47" s="383"/>
      <c r="G47" s="383"/>
      <c r="H47" s="383"/>
      <c r="I47" s="380">
        <f t="shared" si="9"/>
        <v>0</v>
      </c>
      <c r="K47" s="383"/>
      <c r="L47" s="383"/>
      <c r="M47" s="383"/>
      <c r="N47" s="380">
        <f t="shared" si="20"/>
        <v>0</v>
      </c>
      <c r="O47" s="373">
        <f t="shared" si="27"/>
        <v>0</v>
      </c>
      <c r="Q47" s="383"/>
      <c r="R47" s="383"/>
      <c r="S47" s="383"/>
      <c r="T47" s="380">
        <f t="shared" si="21"/>
        <v>0</v>
      </c>
      <c r="V47" s="383"/>
      <c r="W47" s="383"/>
      <c r="X47" s="383"/>
      <c r="Y47" s="380">
        <f t="shared" si="22"/>
        <v>0</v>
      </c>
      <c r="Z47" s="373">
        <f t="shared" si="23"/>
        <v>0</v>
      </c>
      <c r="AB47" s="383">
        <f>'Összesített ktgvetés'!Z61</f>
        <v>0</v>
      </c>
      <c r="AC47" s="383"/>
      <c r="AD47" s="383"/>
      <c r="AE47" s="380">
        <f t="shared" si="24"/>
        <v>0</v>
      </c>
      <c r="AG47" s="383"/>
      <c r="AH47" s="383">
        <f>'Összesített ktgvetés'!AD61</f>
        <v>0</v>
      </c>
      <c r="AI47" s="383"/>
      <c r="AJ47" s="380">
        <f t="shared" si="25"/>
        <v>0</v>
      </c>
      <c r="AK47" s="373">
        <f t="shared" si="26"/>
        <v>0</v>
      </c>
    </row>
    <row r="48" spans="1:37" ht="13.5" customHeight="1" hidden="1">
      <c r="A48" s="376" t="s">
        <v>487</v>
      </c>
      <c r="B48" s="377" t="s">
        <v>690</v>
      </c>
      <c r="C48" s="390" t="s">
        <v>691</v>
      </c>
      <c r="D48" s="383">
        <f t="shared" si="19"/>
        <v>0</v>
      </c>
      <c r="F48" s="383"/>
      <c r="G48" s="383"/>
      <c r="H48" s="383"/>
      <c r="I48" s="380">
        <f t="shared" si="9"/>
        <v>0</v>
      </c>
      <c r="K48" s="383"/>
      <c r="L48" s="383"/>
      <c r="M48" s="383"/>
      <c r="N48" s="380">
        <f t="shared" si="20"/>
        <v>0</v>
      </c>
      <c r="O48" s="373">
        <f t="shared" si="27"/>
        <v>0</v>
      </c>
      <c r="Q48" s="383"/>
      <c r="R48" s="383"/>
      <c r="S48" s="383"/>
      <c r="T48" s="380">
        <f t="shared" si="21"/>
        <v>0</v>
      </c>
      <c r="V48" s="383"/>
      <c r="W48" s="383"/>
      <c r="X48" s="383"/>
      <c r="Y48" s="380">
        <f t="shared" si="22"/>
        <v>0</v>
      </c>
      <c r="Z48" s="373">
        <f t="shared" si="23"/>
        <v>0</v>
      </c>
      <c r="AB48" s="383"/>
      <c r="AC48" s="383"/>
      <c r="AD48" s="383"/>
      <c r="AE48" s="380">
        <f t="shared" si="24"/>
        <v>0</v>
      </c>
      <c r="AG48" s="383"/>
      <c r="AH48" s="383"/>
      <c r="AI48" s="383"/>
      <c r="AJ48" s="380">
        <f t="shared" si="25"/>
        <v>0</v>
      </c>
      <c r="AK48" s="373">
        <f t="shared" si="26"/>
        <v>0</v>
      </c>
    </row>
    <row r="49" spans="1:37" ht="13.5" customHeight="1" hidden="1">
      <c r="A49" s="376" t="s">
        <v>490</v>
      </c>
      <c r="B49" s="377" t="s">
        <v>692</v>
      </c>
      <c r="C49" s="390" t="s">
        <v>693</v>
      </c>
      <c r="D49" s="383">
        <f t="shared" si="19"/>
        <v>0</v>
      </c>
      <c r="F49" s="383"/>
      <c r="G49" s="383"/>
      <c r="H49" s="383"/>
      <c r="I49" s="380">
        <f t="shared" si="9"/>
        <v>0</v>
      </c>
      <c r="K49" s="383"/>
      <c r="L49" s="383"/>
      <c r="M49" s="383"/>
      <c r="N49" s="380">
        <f t="shared" si="20"/>
        <v>0</v>
      </c>
      <c r="O49" s="373">
        <f t="shared" si="27"/>
        <v>0</v>
      </c>
      <c r="Q49" s="383"/>
      <c r="R49" s="383"/>
      <c r="S49" s="383"/>
      <c r="T49" s="380">
        <f t="shared" si="21"/>
        <v>0</v>
      </c>
      <c r="V49" s="383"/>
      <c r="W49" s="383"/>
      <c r="X49" s="383"/>
      <c r="Y49" s="380">
        <f t="shared" si="22"/>
        <v>0</v>
      </c>
      <c r="Z49" s="373">
        <f t="shared" si="23"/>
        <v>0</v>
      </c>
      <c r="AB49" s="383"/>
      <c r="AC49" s="383"/>
      <c r="AD49" s="383"/>
      <c r="AE49" s="380">
        <f t="shared" si="24"/>
        <v>0</v>
      </c>
      <c r="AG49" s="383"/>
      <c r="AH49" s="383"/>
      <c r="AI49" s="383"/>
      <c r="AJ49" s="380">
        <f t="shared" si="25"/>
        <v>0</v>
      </c>
      <c r="AK49" s="373">
        <f t="shared" si="26"/>
        <v>0</v>
      </c>
    </row>
    <row r="50" spans="1:37" s="29" customFormat="1" ht="13.5" customHeight="1" hidden="1">
      <c r="A50" s="91" t="s">
        <v>493</v>
      </c>
      <c r="B50" s="42" t="s">
        <v>694</v>
      </c>
      <c r="C50" s="34" t="s">
        <v>695</v>
      </c>
      <c r="D50" s="28">
        <f t="shared" si="19"/>
        <v>0</v>
      </c>
      <c r="E50" s="99"/>
      <c r="F50" s="28"/>
      <c r="G50" s="28"/>
      <c r="H50" s="28"/>
      <c r="I50" s="349">
        <f t="shared" si="9"/>
        <v>0</v>
      </c>
      <c r="J50" s="99"/>
      <c r="K50" s="28"/>
      <c r="L50" s="28"/>
      <c r="M50" s="28"/>
      <c r="N50" s="349">
        <f t="shared" si="20"/>
        <v>0</v>
      </c>
      <c r="O50" s="373">
        <f t="shared" si="27"/>
        <v>0</v>
      </c>
      <c r="P50" s="99"/>
      <c r="Q50" s="28"/>
      <c r="R50" s="28"/>
      <c r="S50" s="28"/>
      <c r="T50" s="349">
        <f t="shared" si="21"/>
        <v>0</v>
      </c>
      <c r="U50" s="99"/>
      <c r="V50" s="28"/>
      <c r="W50" s="28"/>
      <c r="X50" s="28"/>
      <c r="Y50" s="349">
        <f t="shared" si="22"/>
        <v>0</v>
      </c>
      <c r="Z50" s="373">
        <f t="shared" si="23"/>
        <v>0</v>
      </c>
      <c r="AA50" s="119"/>
      <c r="AB50" s="28"/>
      <c r="AC50" s="28"/>
      <c r="AD50" s="28"/>
      <c r="AE50" s="349">
        <f t="shared" si="24"/>
        <v>0</v>
      </c>
      <c r="AF50" s="119"/>
      <c r="AG50" s="28"/>
      <c r="AH50" s="28"/>
      <c r="AI50" s="28"/>
      <c r="AJ50" s="349">
        <f t="shared" si="25"/>
        <v>0</v>
      </c>
      <c r="AK50" s="373">
        <f t="shared" si="26"/>
        <v>0</v>
      </c>
    </row>
    <row r="51" spans="1:37" s="29" customFormat="1" ht="13.5" customHeight="1" hidden="1">
      <c r="A51" s="91">
        <v>42</v>
      </c>
      <c r="B51" s="42" t="s">
        <v>696</v>
      </c>
      <c r="C51" s="34" t="s">
        <v>697</v>
      </c>
      <c r="D51" s="28">
        <f t="shared" si="19"/>
        <v>0</v>
      </c>
      <c r="E51" s="99"/>
      <c r="F51" s="28"/>
      <c r="G51" s="28"/>
      <c r="H51" s="28"/>
      <c r="I51" s="349">
        <f t="shared" si="9"/>
        <v>0</v>
      </c>
      <c r="J51" s="99"/>
      <c r="K51" s="28"/>
      <c r="L51" s="28"/>
      <c r="M51" s="28"/>
      <c r="N51" s="349">
        <f t="shared" si="20"/>
        <v>0</v>
      </c>
      <c r="O51" s="373">
        <f t="shared" si="27"/>
        <v>0</v>
      </c>
      <c r="P51" s="99"/>
      <c r="Q51" s="28"/>
      <c r="R51" s="28"/>
      <c r="S51" s="28"/>
      <c r="T51" s="349">
        <f t="shared" si="21"/>
        <v>0</v>
      </c>
      <c r="U51" s="99"/>
      <c r="V51" s="28"/>
      <c r="W51" s="28"/>
      <c r="X51" s="28"/>
      <c r="Y51" s="349">
        <f t="shared" si="22"/>
        <v>0</v>
      </c>
      <c r="Z51" s="373">
        <f t="shared" si="23"/>
        <v>0</v>
      </c>
      <c r="AA51" s="119"/>
      <c r="AB51" s="28"/>
      <c r="AC51" s="28"/>
      <c r="AD51" s="28"/>
      <c r="AE51" s="349">
        <f t="shared" si="24"/>
        <v>0</v>
      </c>
      <c r="AF51" s="119"/>
      <c r="AG51" s="28"/>
      <c r="AH51" s="28"/>
      <c r="AI51" s="28"/>
      <c r="AJ51" s="349">
        <f t="shared" si="25"/>
        <v>0</v>
      </c>
      <c r="AK51" s="373">
        <f t="shared" si="26"/>
        <v>0</v>
      </c>
    </row>
    <row r="52" spans="1:37" s="98" customFormat="1" ht="13.5" customHeight="1" hidden="1">
      <c r="A52" s="94">
        <v>43</v>
      </c>
      <c r="B52" s="95" t="s">
        <v>698</v>
      </c>
      <c r="C52" s="102" t="s">
        <v>699</v>
      </c>
      <c r="D52" s="56">
        <f>D50+D51</f>
        <v>0</v>
      </c>
      <c r="F52" s="56">
        <f>F50+F51</f>
        <v>0</v>
      </c>
      <c r="G52" s="56">
        <f>G50+G51</f>
        <v>0</v>
      </c>
      <c r="H52" s="56">
        <f>H50+H51</f>
        <v>0</v>
      </c>
      <c r="I52" s="56">
        <f>I50+I51</f>
        <v>0</v>
      </c>
      <c r="K52" s="56">
        <f>K50+K51</f>
        <v>0</v>
      </c>
      <c r="L52" s="56">
        <f>L50+L51</f>
        <v>0</v>
      </c>
      <c r="M52" s="56">
        <f>M50+M51</f>
        <v>0</v>
      </c>
      <c r="N52" s="56">
        <f>N50+N51</f>
        <v>0</v>
      </c>
      <c r="O52" s="56">
        <f>O50+O51</f>
        <v>0</v>
      </c>
      <c r="Q52" s="56">
        <f>Q50+Q51</f>
        <v>0</v>
      </c>
      <c r="R52" s="56">
        <f>R50+R51</f>
        <v>0</v>
      </c>
      <c r="S52" s="56">
        <f>S50+S51</f>
        <v>0</v>
      </c>
      <c r="T52" s="56">
        <f>T50+T51</f>
        <v>0</v>
      </c>
      <c r="V52" s="56">
        <f>V50+V51</f>
        <v>0</v>
      </c>
      <c r="W52" s="56">
        <f>W50+W51</f>
        <v>0</v>
      </c>
      <c r="X52" s="56">
        <f>X50+X51</f>
        <v>0</v>
      </c>
      <c r="Y52" s="56">
        <f>Y50+Y51</f>
        <v>0</v>
      </c>
      <c r="Z52" s="56">
        <f>Z50+Z51</f>
        <v>0</v>
      </c>
      <c r="AA52" s="103"/>
      <c r="AB52" s="56">
        <f>AB50+AB51</f>
        <v>0</v>
      </c>
      <c r="AC52" s="56">
        <f>AC50+AC51</f>
        <v>0</v>
      </c>
      <c r="AD52" s="56">
        <f>AD50+AD51</f>
        <v>0</v>
      </c>
      <c r="AE52" s="56">
        <f>AE50+AE51</f>
        <v>0</v>
      </c>
      <c r="AF52" s="103"/>
      <c r="AG52" s="56">
        <f>AG50+AG51</f>
        <v>0</v>
      </c>
      <c r="AH52" s="56">
        <f>AH50+AH51</f>
        <v>0</v>
      </c>
      <c r="AI52" s="56">
        <f>AI50+AI51</f>
        <v>0</v>
      </c>
      <c r="AJ52" s="56">
        <f>AJ50+AJ51</f>
        <v>0</v>
      </c>
      <c r="AK52" s="56">
        <f>AK50+AK51</f>
        <v>0</v>
      </c>
    </row>
    <row r="53" spans="1:37" s="29" customFormat="1" ht="13.5" customHeight="1" hidden="1">
      <c r="A53" s="91">
        <v>44</v>
      </c>
      <c r="B53" s="42" t="s">
        <v>700</v>
      </c>
      <c r="C53" s="34" t="s">
        <v>701</v>
      </c>
      <c r="D53" s="28">
        <f>O53+Z53+AK53</f>
        <v>0</v>
      </c>
      <c r="E53" s="99"/>
      <c r="F53" s="28"/>
      <c r="G53" s="28"/>
      <c r="H53" s="28"/>
      <c r="I53" s="349">
        <f t="shared" si="9"/>
        <v>0</v>
      </c>
      <c r="J53" s="99"/>
      <c r="K53" s="28"/>
      <c r="L53" s="28"/>
      <c r="M53" s="28"/>
      <c r="N53" s="349">
        <f>SUM(K53:M53)</f>
        <v>0</v>
      </c>
      <c r="O53" s="373">
        <f>I53+N53</f>
        <v>0</v>
      </c>
      <c r="P53" s="99"/>
      <c r="Q53" s="28"/>
      <c r="R53" s="28"/>
      <c r="S53" s="28"/>
      <c r="T53" s="349">
        <f>SUM(Q53:S53)</f>
        <v>0</v>
      </c>
      <c r="U53" s="99"/>
      <c r="V53" s="28"/>
      <c r="W53" s="28"/>
      <c r="X53" s="28"/>
      <c r="Y53" s="349">
        <f>SUM(V53:X53)</f>
        <v>0</v>
      </c>
      <c r="Z53" s="373">
        <f>T53+Y53</f>
        <v>0</v>
      </c>
      <c r="AA53" s="119"/>
      <c r="AB53" s="28"/>
      <c r="AC53" s="28"/>
      <c r="AD53" s="28"/>
      <c r="AE53" s="349">
        <f>SUM(AB53:AD53)</f>
        <v>0</v>
      </c>
      <c r="AF53" s="119"/>
      <c r="AG53" s="28"/>
      <c r="AH53" s="28"/>
      <c r="AI53" s="28"/>
      <c r="AJ53" s="349">
        <f>SUM(AG53:AI53)</f>
        <v>0</v>
      </c>
      <c r="AK53" s="373">
        <f>AE53+AJ53</f>
        <v>0</v>
      </c>
    </row>
    <row r="54" spans="1:37" s="29" customFormat="1" ht="13.5" customHeight="1" hidden="1">
      <c r="A54" s="91">
        <v>45</v>
      </c>
      <c r="B54" s="42" t="s">
        <v>702</v>
      </c>
      <c r="C54" s="34" t="s">
        <v>703</v>
      </c>
      <c r="D54" s="28">
        <f>O54+Z54+AK54</f>
        <v>0</v>
      </c>
      <c r="E54" s="99"/>
      <c r="F54" s="28"/>
      <c r="G54" s="28"/>
      <c r="H54" s="28"/>
      <c r="I54" s="349">
        <f t="shared" si="9"/>
        <v>0</v>
      </c>
      <c r="J54" s="99"/>
      <c r="K54" s="28"/>
      <c r="L54" s="28"/>
      <c r="M54" s="28"/>
      <c r="N54" s="349">
        <f>SUM(K54:M54)</f>
        <v>0</v>
      </c>
      <c r="O54" s="373">
        <f>I54+N54</f>
        <v>0</v>
      </c>
      <c r="P54" s="99"/>
      <c r="Q54" s="28"/>
      <c r="R54" s="28"/>
      <c r="S54" s="28"/>
      <c r="T54" s="349">
        <f>SUM(Q54:S54)</f>
        <v>0</v>
      </c>
      <c r="U54" s="99"/>
      <c r="V54" s="28"/>
      <c r="W54" s="28"/>
      <c r="X54" s="28"/>
      <c r="Y54" s="349">
        <f>SUM(V54:X54)</f>
        <v>0</v>
      </c>
      <c r="Z54" s="373">
        <f>T54+Y54</f>
        <v>0</v>
      </c>
      <c r="AA54" s="119"/>
      <c r="AB54" s="28"/>
      <c r="AC54" s="28"/>
      <c r="AD54" s="28"/>
      <c r="AE54" s="349">
        <f>SUM(AB54:AD54)</f>
        <v>0</v>
      </c>
      <c r="AF54" s="119"/>
      <c r="AG54" s="28"/>
      <c r="AH54" s="28"/>
      <c r="AI54" s="28"/>
      <c r="AJ54" s="349">
        <f>SUM(AG54:AI54)</f>
        <v>0</v>
      </c>
      <c r="AK54" s="373">
        <f>AE54+AJ54</f>
        <v>0</v>
      </c>
    </row>
    <row r="55" spans="1:37" s="107" customFormat="1" ht="13.5" customHeight="1" hidden="1">
      <c r="A55" s="94" t="s">
        <v>508</v>
      </c>
      <c r="B55" s="95" t="s">
        <v>704</v>
      </c>
      <c r="C55" s="102" t="s">
        <v>705</v>
      </c>
      <c r="D55" s="56">
        <f>D53+D54</f>
        <v>0</v>
      </c>
      <c r="F55" s="56">
        <f>F53+F54</f>
        <v>0</v>
      </c>
      <c r="G55" s="56">
        <f>G53+G54</f>
        <v>0</v>
      </c>
      <c r="H55" s="56">
        <f>H53+H54</f>
        <v>0</v>
      </c>
      <c r="I55" s="56">
        <f>I53+I54</f>
        <v>0</v>
      </c>
      <c r="K55" s="56">
        <f>K53+K54</f>
        <v>0</v>
      </c>
      <c r="L55" s="56">
        <f>L53+L54</f>
        <v>0</v>
      </c>
      <c r="M55" s="56">
        <f>M53+M54</f>
        <v>0</v>
      </c>
      <c r="N55" s="56">
        <f>N53+N54</f>
        <v>0</v>
      </c>
      <c r="O55" s="56">
        <f>O53+O54</f>
        <v>0</v>
      </c>
      <c r="Q55" s="56">
        <f>Q53+Q54</f>
        <v>0</v>
      </c>
      <c r="R55" s="56">
        <f>R53+R54</f>
        <v>0</v>
      </c>
      <c r="S55" s="56">
        <f>S53+S54</f>
        <v>0</v>
      </c>
      <c r="T55" s="56">
        <f>T53+T54</f>
        <v>0</v>
      </c>
      <c r="V55" s="56">
        <f>V53+V54</f>
        <v>0</v>
      </c>
      <c r="W55" s="56">
        <f>W53+W54</f>
        <v>0</v>
      </c>
      <c r="X55" s="56">
        <f>X53+X54</f>
        <v>0</v>
      </c>
      <c r="Y55" s="56">
        <f>Y53+Y54</f>
        <v>0</v>
      </c>
      <c r="Z55" s="56">
        <f>Z53+Z54</f>
        <v>0</v>
      </c>
      <c r="AA55" s="108"/>
      <c r="AB55" s="56">
        <f>AB53+AB54</f>
        <v>0</v>
      </c>
      <c r="AC55" s="56">
        <f>AC53+AC54</f>
        <v>0</v>
      </c>
      <c r="AD55" s="56">
        <f>AD53+AD54</f>
        <v>0</v>
      </c>
      <c r="AE55" s="56">
        <f>AE53+AE54</f>
        <v>0</v>
      </c>
      <c r="AF55" s="108"/>
      <c r="AG55" s="56">
        <f>AG53+AG54</f>
        <v>0</v>
      </c>
      <c r="AH55" s="56">
        <f>AH53+AH54</f>
        <v>0</v>
      </c>
      <c r="AI55" s="56">
        <f>AI53+AI54</f>
        <v>0</v>
      </c>
      <c r="AJ55" s="56">
        <f>AJ53+AJ54</f>
        <v>0</v>
      </c>
      <c r="AK55" s="56">
        <f>AK53+AK54</f>
        <v>0</v>
      </c>
    </row>
    <row r="56" spans="1:37" ht="13.5" customHeight="1" hidden="1">
      <c r="A56" s="376" t="s">
        <v>511</v>
      </c>
      <c r="B56" s="377" t="s">
        <v>706</v>
      </c>
      <c r="C56" s="390" t="s">
        <v>707</v>
      </c>
      <c r="D56" s="383">
        <f>O56+Z56+AK56</f>
        <v>0</v>
      </c>
      <c r="F56" s="383"/>
      <c r="G56" s="383"/>
      <c r="H56" s="383"/>
      <c r="I56" s="380">
        <f t="shared" si="9"/>
        <v>0</v>
      </c>
      <c r="K56" s="383"/>
      <c r="L56" s="383"/>
      <c r="M56" s="383"/>
      <c r="N56" s="380">
        <f>SUM(K56:M56)</f>
        <v>0</v>
      </c>
      <c r="O56" s="373">
        <f>I56+N56</f>
        <v>0</v>
      </c>
      <c r="Q56" s="383"/>
      <c r="R56" s="383"/>
      <c r="S56" s="383"/>
      <c r="T56" s="380">
        <f>SUM(Q56:S56)</f>
        <v>0</v>
      </c>
      <c r="V56" s="383"/>
      <c r="W56" s="383"/>
      <c r="X56" s="383"/>
      <c r="Y56" s="380">
        <f>SUM(V56:X56)</f>
        <v>0</v>
      </c>
      <c r="Z56" s="373">
        <f>T56+Y56</f>
        <v>0</v>
      </c>
      <c r="AB56" s="383"/>
      <c r="AC56" s="383"/>
      <c r="AD56" s="383"/>
      <c r="AE56" s="380">
        <f>SUM(AB56:AD56)</f>
        <v>0</v>
      </c>
      <c r="AG56" s="383"/>
      <c r="AH56" s="383"/>
      <c r="AI56" s="383"/>
      <c r="AJ56" s="380">
        <f>SUM(AG56:AI56)</f>
        <v>0</v>
      </c>
      <c r="AK56" s="373">
        <f>AE56+AJ56</f>
        <v>0</v>
      </c>
    </row>
    <row r="57" spans="1:37" ht="13.5" customHeight="1" hidden="1">
      <c r="A57" s="376" t="s">
        <v>514</v>
      </c>
      <c r="B57" s="377" t="s">
        <v>708</v>
      </c>
      <c r="C57" s="390" t="s">
        <v>709</v>
      </c>
      <c r="D57" s="383">
        <f>O57+Z57+AK57</f>
        <v>0</v>
      </c>
      <c r="F57" s="383"/>
      <c r="G57" s="383"/>
      <c r="H57" s="383"/>
      <c r="I57" s="380">
        <f t="shared" si="9"/>
        <v>0</v>
      </c>
      <c r="K57" s="383"/>
      <c r="L57" s="383"/>
      <c r="M57" s="383"/>
      <c r="N57" s="380">
        <f>SUM(K57:M57)</f>
        <v>0</v>
      </c>
      <c r="O57" s="373">
        <f>I57+N57</f>
        <v>0</v>
      </c>
      <c r="Q57" s="383"/>
      <c r="R57" s="383"/>
      <c r="S57" s="383"/>
      <c r="T57" s="380">
        <f>SUM(Q57:S57)</f>
        <v>0</v>
      </c>
      <c r="V57" s="383"/>
      <c r="W57" s="383"/>
      <c r="X57" s="383"/>
      <c r="Y57" s="380">
        <f>SUM(V57:X57)</f>
        <v>0</v>
      </c>
      <c r="Z57" s="373">
        <f>T57+Y57</f>
        <v>0</v>
      </c>
      <c r="AB57" s="383"/>
      <c r="AC57" s="383"/>
      <c r="AD57" s="383"/>
      <c r="AE57" s="380">
        <f>SUM(AB57:AD57)</f>
        <v>0</v>
      </c>
      <c r="AG57" s="383"/>
      <c r="AH57" s="383"/>
      <c r="AI57" s="383"/>
      <c r="AJ57" s="380">
        <f>SUM(AG57:AI57)</f>
        <v>0</v>
      </c>
      <c r="AK57" s="373">
        <f>AE57+AJ57</f>
        <v>0</v>
      </c>
    </row>
    <row r="58" spans="1:37" ht="13.5" customHeight="1">
      <c r="A58" s="84" t="s">
        <v>517</v>
      </c>
      <c r="B58" s="109" t="s">
        <v>710</v>
      </c>
      <c r="C58" s="86" t="s">
        <v>711</v>
      </c>
      <c r="D58" s="104">
        <f>D43+D44+D45+D46+D47+D48+D49+D52+D55+D56+D57</f>
        <v>0</v>
      </c>
      <c r="F58" s="104">
        <f>F43+F44+F45+F46+F47+F48+F49+F52+F55+F56+F57</f>
        <v>0</v>
      </c>
      <c r="G58" s="104">
        <f>G43+G44+G45+G46+G47+G48+G49+G52+G55+G56+G57</f>
        <v>0</v>
      </c>
      <c r="H58" s="104">
        <f>H43+H44+H45+H46+H47+H48+H49+H52+H55+H56+H57</f>
        <v>0</v>
      </c>
      <c r="I58" s="104">
        <f>I43+I44+I45+I46+I47+I48+I49+I52+I55+I56+I57</f>
        <v>0</v>
      </c>
      <c r="K58" s="104">
        <f>K43+K44+K45+K46+K47+K48+K49+K52+K55+K56+K57</f>
        <v>0</v>
      </c>
      <c r="L58" s="104">
        <f>L43+L44+L45+L46+L47+L48+L49+L52+L55+L56+L57</f>
        <v>0</v>
      </c>
      <c r="M58" s="104">
        <f>M43+M44+M45+M46+M47+M48+M49+M52+M55+M56+M57</f>
        <v>0</v>
      </c>
      <c r="N58" s="104">
        <f>N43+N44+N45+N46+N47+N48+N49+N52+N55+N56+N57</f>
        <v>0</v>
      </c>
      <c r="O58" s="104">
        <f>O43+O44+O45+O46+O47+O48+O49+O52+O55+O56+O57</f>
        <v>0</v>
      </c>
      <c r="Q58" s="104">
        <f>Q43+Q44+Q45+Q46+Q47+Q48+Q49+Q52+Q55+Q56+Q57</f>
        <v>0</v>
      </c>
      <c r="R58" s="104">
        <f>R43+R44+R45+R46+R47+R48+R49+R52+R55+R56+R57</f>
        <v>0</v>
      </c>
      <c r="S58" s="104">
        <f>S43+S44+S45+S46+S47+S48+S49+S52+S55+S56+S57</f>
        <v>0</v>
      </c>
      <c r="T58" s="104">
        <f>T43+T44+T45+T46+T47+T48+T49+T52+T55+T56+T57</f>
        <v>0</v>
      </c>
      <c r="V58" s="104">
        <f>V43+V44+V45+V46+V47+V48+V49+V52+V55+V56+V57</f>
        <v>0</v>
      </c>
      <c r="W58" s="104">
        <f>W43+W44+W45+W46+W47+W48+W49+W52+W55+W56+W57</f>
        <v>0</v>
      </c>
      <c r="X58" s="104">
        <f>X43+X44+X45+X46+X47+X48+X49+X52+X55+X56+X57</f>
        <v>0</v>
      </c>
      <c r="Y58" s="104">
        <f>Y43+Y44+Y45+Y46+Y47+Y48+Y49+Y52+Y55+Y56+Y57</f>
        <v>0</v>
      </c>
      <c r="Z58" s="104">
        <f>Z43+Z44+Z45+Z46+Z47+Z48+Z49+Z52+Z55+Z56+Z57</f>
        <v>0</v>
      </c>
      <c r="AB58" s="104">
        <f>AB43+AB44+AB45+AB46+AB47+AB48+AB49+AB52+AB55+AB56+AB57</f>
        <v>0</v>
      </c>
      <c r="AC58" s="104">
        <f>AC43+AC44+AC45+AC46+AC47+AC48+AC49+AC52+AC55+AC56+AC57</f>
        <v>0</v>
      </c>
      <c r="AD58" s="104">
        <f>AD43+AD44+AD45+AD46+AD47+AD48+AD49+AD52+AD55+AD56+AD57</f>
        <v>0</v>
      </c>
      <c r="AE58" s="104">
        <f>AE43+AE44+AE45+AE46+AE47+AE48+AE49+AE52+AE55+AE56+AE57</f>
        <v>0</v>
      </c>
      <c r="AG58" s="104">
        <f>AG43+AG44+AG45+AG46+AG47+AG48+AG49+AG52+AG55+AG56+AG57</f>
        <v>0</v>
      </c>
      <c r="AH58" s="104">
        <f>AH43+AH44+AH45+AH46+AH47+AH48+AH49+AH52+AH55+AH56+AH57</f>
        <v>0</v>
      </c>
      <c r="AI58" s="104">
        <f>AI43+AI44+AI45+AI46+AI47+AI48+AI49+AI52+AI55+AI56+AI57</f>
        <v>0</v>
      </c>
      <c r="AJ58" s="104">
        <f>AJ43+AJ44+AJ45+AJ46+AJ47+AJ48+AJ49+AJ52+AJ55+AJ56+AJ57</f>
        <v>0</v>
      </c>
      <c r="AK58" s="104">
        <f>AK43+AK44+AK45+AK46+AK47+AK48+AK49+AK52+AK55+AK56+AK57</f>
        <v>0</v>
      </c>
    </row>
    <row r="59" spans="1:37" s="29" customFormat="1" ht="13.5" customHeight="1" hidden="1">
      <c r="A59" s="91" t="s">
        <v>520</v>
      </c>
      <c r="B59" s="42" t="s">
        <v>712</v>
      </c>
      <c r="C59" s="34" t="s">
        <v>713</v>
      </c>
      <c r="D59" s="28">
        <f>O59+Z59+AK59</f>
        <v>0</v>
      </c>
      <c r="E59" s="99"/>
      <c r="F59" s="28"/>
      <c r="G59" s="28"/>
      <c r="H59" s="28"/>
      <c r="I59" s="349">
        <f t="shared" si="9"/>
        <v>0</v>
      </c>
      <c r="J59" s="99"/>
      <c r="K59" s="28"/>
      <c r="L59" s="28"/>
      <c r="M59" s="28"/>
      <c r="N59" s="349">
        <f>SUM(K59:M59)</f>
        <v>0</v>
      </c>
      <c r="O59" s="373">
        <f>I59+N59</f>
        <v>0</v>
      </c>
      <c r="P59" s="99"/>
      <c r="Q59" s="28"/>
      <c r="R59" s="28"/>
      <c r="S59" s="28"/>
      <c r="T59" s="349">
        <f>SUM(Q59:S59)</f>
        <v>0</v>
      </c>
      <c r="U59" s="99"/>
      <c r="V59" s="28"/>
      <c r="W59" s="28"/>
      <c r="X59" s="28"/>
      <c r="Y59" s="349">
        <f>SUM(V59:X59)</f>
        <v>0</v>
      </c>
      <c r="Z59" s="373">
        <f>T59+Y59</f>
        <v>0</v>
      </c>
      <c r="AA59" s="119"/>
      <c r="AB59" s="28"/>
      <c r="AC59" s="28"/>
      <c r="AD59" s="28"/>
      <c r="AE59" s="349">
        <f>SUM(AB59:AD59)</f>
        <v>0</v>
      </c>
      <c r="AF59" s="119"/>
      <c r="AG59" s="28"/>
      <c r="AH59" s="28"/>
      <c r="AI59" s="28"/>
      <c r="AJ59" s="349">
        <f>SUM(AG59:AI59)</f>
        <v>0</v>
      </c>
      <c r="AK59" s="373">
        <f>AE59+AJ59</f>
        <v>0</v>
      </c>
    </row>
    <row r="60" spans="1:37" s="29" customFormat="1" ht="13.5" customHeight="1" hidden="1">
      <c r="A60" s="91" t="s">
        <v>523</v>
      </c>
      <c r="B60" s="42" t="s">
        <v>714</v>
      </c>
      <c r="C60" s="34" t="s">
        <v>715</v>
      </c>
      <c r="D60" s="28">
        <f>O60+Z60+AK60</f>
        <v>0</v>
      </c>
      <c r="E60" s="99"/>
      <c r="F60" s="28"/>
      <c r="G60" s="28"/>
      <c r="H60" s="28"/>
      <c r="I60" s="349">
        <f t="shared" si="9"/>
        <v>0</v>
      </c>
      <c r="J60" s="99"/>
      <c r="K60" s="28"/>
      <c r="L60" s="28"/>
      <c r="M60" s="28"/>
      <c r="N60" s="349">
        <f>SUM(K60:M60)</f>
        <v>0</v>
      </c>
      <c r="O60" s="373">
        <f>I60+N60</f>
        <v>0</v>
      </c>
      <c r="P60" s="99"/>
      <c r="Q60" s="28"/>
      <c r="R60" s="28"/>
      <c r="S60" s="28"/>
      <c r="T60" s="349">
        <f>SUM(Q60:S60)</f>
        <v>0</v>
      </c>
      <c r="U60" s="99"/>
      <c r="V60" s="28"/>
      <c r="W60" s="28"/>
      <c r="X60" s="28"/>
      <c r="Y60" s="349">
        <f>SUM(V60:X60)</f>
        <v>0</v>
      </c>
      <c r="Z60" s="373">
        <f>T60+Y60</f>
        <v>0</v>
      </c>
      <c r="AA60" s="119"/>
      <c r="AB60" s="28"/>
      <c r="AC60" s="28"/>
      <c r="AD60" s="28"/>
      <c r="AE60" s="349">
        <f>SUM(AB60:AD60)</f>
        <v>0</v>
      </c>
      <c r="AF60" s="119"/>
      <c r="AG60" s="28"/>
      <c r="AH60" s="28"/>
      <c r="AI60" s="28"/>
      <c r="AJ60" s="349">
        <f>SUM(AG60:AI60)</f>
        <v>0</v>
      </c>
      <c r="AK60" s="373">
        <f>AE60+AJ60</f>
        <v>0</v>
      </c>
    </row>
    <row r="61" spans="1:37" s="29" customFormat="1" ht="13.5" customHeight="1" hidden="1">
      <c r="A61" s="91" t="s">
        <v>526</v>
      </c>
      <c r="B61" s="42" t="s">
        <v>716</v>
      </c>
      <c r="C61" s="34" t="s">
        <v>717</v>
      </c>
      <c r="D61" s="28">
        <f>O61+Z61+AK61</f>
        <v>0</v>
      </c>
      <c r="E61" s="99"/>
      <c r="F61" s="28"/>
      <c r="G61" s="28"/>
      <c r="H61" s="28"/>
      <c r="I61" s="349">
        <f t="shared" si="9"/>
        <v>0</v>
      </c>
      <c r="J61" s="99"/>
      <c r="K61" s="28"/>
      <c r="L61" s="28"/>
      <c r="M61" s="28"/>
      <c r="N61" s="349">
        <f>SUM(K61:M61)</f>
        <v>0</v>
      </c>
      <c r="O61" s="373">
        <f>I61+N61</f>
        <v>0</v>
      </c>
      <c r="P61" s="99"/>
      <c r="Q61" s="28"/>
      <c r="R61" s="28"/>
      <c r="S61" s="28"/>
      <c r="T61" s="349">
        <f>SUM(Q61:S61)</f>
        <v>0</v>
      </c>
      <c r="U61" s="99"/>
      <c r="V61" s="28"/>
      <c r="W61" s="28"/>
      <c r="X61" s="28"/>
      <c r="Y61" s="349">
        <f>SUM(V61:X61)</f>
        <v>0</v>
      </c>
      <c r="Z61" s="373">
        <f>T61+Y61</f>
        <v>0</v>
      </c>
      <c r="AA61" s="119"/>
      <c r="AB61" s="28"/>
      <c r="AC61" s="28"/>
      <c r="AD61" s="28"/>
      <c r="AE61" s="349">
        <f>SUM(AB61:AD61)</f>
        <v>0</v>
      </c>
      <c r="AF61" s="119"/>
      <c r="AG61" s="28"/>
      <c r="AH61" s="28"/>
      <c r="AI61" s="28"/>
      <c r="AJ61" s="349">
        <f>SUM(AG61:AI61)</f>
        <v>0</v>
      </c>
      <c r="AK61" s="373">
        <f>AE61+AJ61</f>
        <v>0</v>
      </c>
    </row>
    <row r="62" spans="1:37" s="29" customFormat="1" ht="13.5" customHeight="1" hidden="1">
      <c r="A62" s="91" t="s">
        <v>529</v>
      </c>
      <c r="B62" s="42" t="s">
        <v>718</v>
      </c>
      <c r="C62" s="34" t="s">
        <v>719</v>
      </c>
      <c r="D62" s="28">
        <f>O62+Z62+AK62</f>
        <v>0</v>
      </c>
      <c r="E62" s="99"/>
      <c r="F62" s="28"/>
      <c r="G62" s="28"/>
      <c r="H62" s="28"/>
      <c r="I62" s="349">
        <f t="shared" si="9"/>
        <v>0</v>
      </c>
      <c r="J62" s="99"/>
      <c r="K62" s="28"/>
      <c r="L62" s="28"/>
      <c r="M62" s="28"/>
      <c r="N62" s="349">
        <f>SUM(K62:M62)</f>
        <v>0</v>
      </c>
      <c r="O62" s="373">
        <f>I62+N62</f>
        <v>0</v>
      </c>
      <c r="P62" s="99"/>
      <c r="Q62" s="28"/>
      <c r="R62" s="28"/>
      <c r="S62" s="28"/>
      <c r="T62" s="349">
        <f>SUM(Q62:S62)</f>
        <v>0</v>
      </c>
      <c r="U62" s="99"/>
      <c r="V62" s="28"/>
      <c r="W62" s="28"/>
      <c r="X62" s="28"/>
      <c r="Y62" s="349">
        <f>SUM(V62:X62)</f>
        <v>0</v>
      </c>
      <c r="Z62" s="373">
        <f>T62+Y62</f>
        <v>0</v>
      </c>
      <c r="AA62" s="119"/>
      <c r="AB62" s="28"/>
      <c r="AC62" s="28"/>
      <c r="AD62" s="28"/>
      <c r="AE62" s="349">
        <f>SUM(AB62:AD62)</f>
        <v>0</v>
      </c>
      <c r="AF62" s="119"/>
      <c r="AG62" s="28"/>
      <c r="AH62" s="28"/>
      <c r="AI62" s="28"/>
      <c r="AJ62" s="349">
        <f>SUM(AG62:AI62)</f>
        <v>0</v>
      </c>
      <c r="AK62" s="373">
        <f>AE62+AJ62</f>
        <v>0</v>
      </c>
    </row>
    <row r="63" spans="1:37" s="29" customFormat="1" ht="13.5" customHeight="1" hidden="1">
      <c r="A63" s="91" t="s">
        <v>532</v>
      </c>
      <c r="B63" s="42" t="s">
        <v>720</v>
      </c>
      <c r="C63" s="34" t="s">
        <v>721</v>
      </c>
      <c r="D63" s="28">
        <f>O63+Z63+AK63</f>
        <v>0</v>
      </c>
      <c r="E63" s="99"/>
      <c r="F63" s="28"/>
      <c r="G63" s="28"/>
      <c r="H63" s="28"/>
      <c r="I63" s="349">
        <f t="shared" si="9"/>
        <v>0</v>
      </c>
      <c r="J63" s="99"/>
      <c r="K63" s="28"/>
      <c r="L63" s="28"/>
      <c r="M63" s="28"/>
      <c r="N63" s="349">
        <f>SUM(K63:M63)</f>
        <v>0</v>
      </c>
      <c r="O63" s="373">
        <f>I63+N63</f>
        <v>0</v>
      </c>
      <c r="P63" s="99"/>
      <c r="Q63" s="28"/>
      <c r="R63" s="28"/>
      <c r="S63" s="28"/>
      <c r="T63" s="349">
        <f>SUM(Q63:S63)</f>
        <v>0</v>
      </c>
      <c r="U63" s="99"/>
      <c r="V63" s="28"/>
      <c r="W63" s="28"/>
      <c r="X63" s="28"/>
      <c r="Y63" s="349">
        <f>SUM(V63:X63)</f>
        <v>0</v>
      </c>
      <c r="Z63" s="373">
        <f>T63+Y63</f>
        <v>0</v>
      </c>
      <c r="AA63" s="119"/>
      <c r="AB63" s="28"/>
      <c r="AC63" s="28"/>
      <c r="AD63" s="28"/>
      <c r="AE63" s="349">
        <f>SUM(AB63:AD63)</f>
        <v>0</v>
      </c>
      <c r="AF63" s="119"/>
      <c r="AG63" s="28"/>
      <c r="AH63" s="28"/>
      <c r="AI63" s="28"/>
      <c r="AJ63" s="349">
        <f>SUM(AG63:AI63)</f>
        <v>0</v>
      </c>
      <c r="AK63" s="373">
        <f>AE63+AJ63</f>
        <v>0</v>
      </c>
    </row>
    <row r="64" spans="1:37" ht="13.5" customHeight="1">
      <c r="A64" s="84" t="s">
        <v>535</v>
      </c>
      <c r="B64" s="85" t="s">
        <v>722</v>
      </c>
      <c r="C64" s="86" t="s">
        <v>723</v>
      </c>
      <c r="D64" s="104">
        <f>SUM(D59:D63)</f>
        <v>0</v>
      </c>
      <c r="F64" s="104">
        <f>SUM(F59:F63)</f>
        <v>0</v>
      </c>
      <c r="G64" s="104">
        <f>SUM(G59:G63)</f>
        <v>0</v>
      </c>
      <c r="H64" s="104">
        <f>SUM(H59:H63)</f>
        <v>0</v>
      </c>
      <c r="I64" s="104">
        <f>SUM(I59:I63)</f>
        <v>0</v>
      </c>
      <c r="K64" s="104">
        <f>SUM(K59:K63)</f>
        <v>0</v>
      </c>
      <c r="L64" s="104">
        <f>SUM(L59:L63)</f>
        <v>0</v>
      </c>
      <c r="M64" s="104">
        <f>SUM(M59:M63)</f>
        <v>0</v>
      </c>
      <c r="N64" s="104">
        <f>SUM(N59:N63)</f>
        <v>0</v>
      </c>
      <c r="O64" s="104">
        <f>SUM(O59:O63)</f>
        <v>0</v>
      </c>
      <c r="Q64" s="104">
        <f>SUM(Q59:Q63)</f>
        <v>0</v>
      </c>
      <c r="R64" s="104">
        <f>SUM(R59:R63)</f>
        <v>0</v>
      </c>
      <c r="S64" s="104">
        <f>SUM(S59:S63)</f>
        <v>0</v>
      </c>
      <c r="T64" s="104">
        <f>SUM(T59:T63)</f>
        <v>0</v>
      </c>
      <c r="V64" s="104">
        <f>SUM(V59:V63)</f>
        <v>0</v>
      </c>
      <c r="W64" s="104">
        <f>SUM(W59:W63)</f>
        <v>0</v>
      </c>
      <c r="X64" s="104">
        <f>SUM(X59:X63)</f>
        <v>0</v>
      </c>
      <c r="Y64" s="104">
        <f>SUM(Y59:Y63)</f>
        <v>0</v>
      </c>
      <c r="Z64" s="104">
        <f>SUM(Z59:Z63)</f>
        <v>0</v>
      </c>
      <c r="AB64" s="104">
        <f>SUM(AB59:AB63)</f>
        <v>0</v>
      </c>
      <c r="AC64" s="104">
        <f>SUM(AC59:AC63)</f>
        <v>0</v>
      </c>
      <c r="AD64" s="104">
        <f>SUM(AD59:AD63)</f>
        <v>0</v>
      </c>
      <c r="AE64" s="104">
        <f>SUM(AE59:AE63)</f>
        <v>0</v>
      </c>
      <c r="AG64" s="104">
        <f>SUM(AG59:AG63)</f>
        <v>0</v>
      </c>
      <c r="AH64" s="104">
        <f>SUM(AH59:AH63)</f>
        <v>0</v>
      </c>
      <c r="AI64" s="104">
        <f>SUM(AI59:AI63)</f>
        <v>0</v>
      </c>
      <c r="AJ64" s="104">
        <f>SUM(AJ59:AJ63)</f>
        <v>0</v>
      </c>
      <c r="AK64" s="104">
        <f>SUM(AK59:AK63)</f>
        <v>0</v>
      </c>
    </row>
    <row r="65" spans="1:37" s="29" customFormat="1" ht="13.5" customHeight="1" hidden="1">
      <c r="A65" s="91" t="s">
        <v>724</v>
      </c>
      <c r="B65" s="42" t="s">
        <v>725</v>
      </c>
      <c r="C65" s="34" t="s">
        <v>726</v>
      </c>
      <c r="D65" s="28">
        <f>O65+Z65+AK65</f>
        <v>0</v>
      </c>
      <c r="E65" s="99"/>
      <c r="F65" s="28"/>
      <c r="G65" s="28"/>
      <c r="H65" s="28"/>
      <c r="I65" s="349">
        <f t="shared" si="9"/>
        <v>0</v>
      </c>
      <c r="J65" s="99"/>
      <c r="K65" s="28"/>
      <c r="L65" s="28"/>
      <c r="M65" s="28"/>
      <c r="N65" s="349">
        <f>SUM(K65:M65)</f>
        <v>0</v>
      </c>
      <c r="O65" s="373">
        <f>I65+N65</f>
        <v>0</v>
      </c>
      <c r="P65" s="99"/>
      <c r="Q65" s="28"/>
      <c r="R65" s="28"/>
      <c r="S65" s="28"/>
      <c r="T65" s="349">
        <f>SUM(Q65:S65)</f>
        <v>0</v>
      </c>
      <c r="U65" s="99"/>
      <c r="V65" s="28"/>
      <c r="W65" s="28"/>
      <c r="X65" s="28"/>
      <c r="Y65" s="349">
        <f>SUM(V65:X65)</f>
        <v>0</v>
      </c>
      <c r="Z65" s="373">
        <f>T65+Y65</f>
        <v>0</v>
      </c>
      <c r="AA65" s="119"/>
      <c r="AB65" s="28"/>
      <c r="AC65" s="28"/>
      <c r="AD65" s="28"/>
      <c r="AE65" s="349">
        <f>SUM(AB65:AD65)</f>
        <v>0</v>
      </c>
      <c r="AF65" s="119"/>
      <c r="AG65" s="28"/>
      <c r="AH65" s="28"/>
      <c r="AI65" s="28"/>
      <c r="AJ65" s="349">
        <f>SUM(AG65:AI65)</f>
        <v>0</v>
      </c>
      <c r="AK65" s="373">
        <f>AE65+AJ65</f>
        <v>0</v>
      </c>
    </row>
    <row r="66" spans="1:37" s="29" customFormat="1" ht="13.5" customHeight="1" hidden="1">
      <c r="A66" s="91" t="s">
        <v>727</v>
      </c>
      <c r="B66" s="42" t="s">
        <v>728</v>
      </c>
      <c r="C66" s="34" t="s">
        <v>729</v>
      </c>
      <c r="D66" s="28">
        <f>O66+Z66+AK66</f>
        <v>0</v>
      </c>
      <c r="E66" s="99"/>
      <c r="F66" s="28"/>
      <c r="G66" s="28"/>
      <c r="H66" s="28"/>
      <c r="I66" s="349">
        <f t="shared" si="9"/>
        <v>0</v>
      </c>
      <c r="J66" s="99"/>
      <c r="K66" s="28"/>
      <c r="L66" s="28"/>
      <c r="M66" s="28"/>
      <c r="N66" s="349">
        <f>SUM(K66:M66)</f>
        <v>0</v>
      </c>
      <c r="O66" s="373">
        <f>I66+N66</f>
        <v>0</v>
      </c>
      <c r="P66" s="99"/>
      <c r="Q66" s="28"/>
      <c r="R66" s="28"/>
      <c r="S66" s="28"/>
      <c r="T66" s="349">
        <f>SUM(Q66:S66)</f>
        <v>0</v>
      </c>
      <c r="U66" s="99"/>
      <c r="V66" s="28"/>
      <c r="W66" s="28"/>
      <c r="X66" s="28"/>
      <c r="Y66" s="349">
        <f>SUM(V66:X66)</f>
        <v>0</v>
      </c>
      <c r="Z66" s="373">
        <f>T66+Y66</f>
        <v>0</v>
      </c>
      <c r="AA66" s="119"/>
      <c r="AB66" s="28"/>
      <c r="AC66" s="28"/>
      <c r="AD66" s="28"/>
      <c r="AE66" s="349">
        <f>SUM(AB66:AD66)</f>
        <v>0</v>
      </c>
      <c r="AF66" s="119"/>
      <c r="AG66" s="28"/>
      <c r="AH66" s="28"/>
      <c r="AI66" s="28"/>
      <c r="AJ66" s="349">
        <f>SUM(AG66:AI66)</f>
        <v>0</v>
      </c>
      <c r="AK66" s="373">
        <f>AE66+AJ66</f>
        <v>0</v>
      </c>
    </row>
    <row r="67" spans="1:37" s="29" customFormat="1" ht="13.5" customHeight="1" hidden="1">
      <c r="A67" s="91" t="s">
        <v>730</v>
      </c>
      <c r="B67" s="42" t="s">
        <v>731</v>
      </c>
      <c r="C67" s="34" t="s">
        <v>732</v>
      </c>
      <c r="D67" s="28">
        <f>O67+Z67+AK67</f>
        <v>0</v>
      </c>
      <c r="E67" s="99"/>
      <c r="F67" s="28"/>
      <c r="G67" s="28"/>
      <c r="H67" s="28"/>
      <c r="I67" s="349">
        <f t="shared" si="9"/>
        <v>0</v>
      </c>
      <c r="J67" s="99"/>
      <c r="K67" s="28"/>
      <c r="L67" s="28"/>
      <c r="M67" s="28"/>
      <c r="N67" s="349">
        <f>SUM(K67:M67)</f>
        <v>0</v>
      </c>
      <c r="O67" s="373">
        <f>I67+N67</f>
        <v>0</v>
      </c>
      <c r="P67" s="99"/>
      <c r="Q67" s="28"/>
      <c r="R67" s="28"/>
      <c r="S67" s="28"/>
      <c r="T67" s="349">
        <f>SUM(Q67:S67)</f>
        <v>0</v>
      </c>
      <c r="U67" s="99"/>
      <c r="V67" s="28"/>
      <c r="W67" s="28"/>
      <c r="X67" s="28"/>
      <c r="Y67" s="349">
        <f>SUM(V67:X67)</f>
        <v>0</v>
      </c>
      <c r="Z67" s="373">
        <f>T67+Y67</f>
        <v>0</v>
      </c>
      <c r="AA67" s="119"/>
      <c r="AB67" s="28"/>
      <c r="AC67" s="28"/>
      <c r="AD67" s="28"/>
      <c r="AE67" s="349">
        <f>SUM(AB67:AD67)</f>
        <v>0</v>
      </c>
      <c r="AF67" s="119"/>
      <c r="AG67" s="28"/>
      <c r="AH67" s="28"/>
      <c r="AI67" s="28"/>
      <c r="AJ67" s="349">
        <f>SUM(AG67:AI67)</f>
        <v>0</v>
      </c>
      <c r="AK67" s="373">
        <f>AE67+AJ67</f>
        <v>0</v>
      </c>
    </row>
    <row r="68" spans="1:37" s="29" customFormat="1" ht="13.5" customHeight="1" hidden="1">
      <c r="A68" s="91" t="s">
        <v>733</v>
      </c>
      <c r="B68" s="32" t="s">
        <v>734</v>
      </c>
      <c r="C68" s="34" t="s">
        <v>735</v>
      </c>
      <c r="D68" s="28">
        <f>O68+Z68+AK68</f>
        <v>0</v>
      </c>
      <c r="E68" s="99"/>
      <c r="F68" s="28"/>
      <c r="G68" s="28"/>
      <c r="H68" s="28"/>
      <c r="I68" s="349">
        <f t="shared" si="9"/>
        <v>0</v>
      </c>
      <c r="J68" s="99"/>
      <c r="K68" s="28"/>
      <c r="L68" s="28"/>
      <c r="M68" s="28"/>
      <c r="N68" s="349">
        <f>SUM(K68:M68)</f>
        <v>0</v>
      </c>
      <c r="O68" s="373">
        <f>I68+N68</f>
        <v>0</v>
      </c>
      <c r="P68" s="99"/>
      <c r="Q68" s="28"/>
      <c r="R68" s="28"/>
      <c r="S68" s="28"/>
      <c r="T68" s="349">
        <f>SUM(Q68:S68)</f>
        <v>0</v>
      </c>
      <c r="U68" s="99"/>
      <c r="V68" s="28"/>
      <c r="W68" s="28"/>
      <c r="X68" s="28"/>
      <c r="Y68" s="349">
        <f>SUM(V68:X68)</f>
        <v>0</v>
      </c>
      <c r="Z68" s="373">
        <f>T68+Y68</f>
        <v>0</v>
      </c>
      <c r="AA68" s="119"/>
      <c r="AB68" s="28"/>
      <c r="AC68" s="28"/>
      <c r="AD68" s="28"/>
      <c r="AE68" s="349">
        <f>SUM(AB68:AD68)</f>
        <v>0</v>
      </c>
      <c r="AF68" s="119"/>
      <c r="AG68" s="28"/>
      <c r="AH68" s="28"/>
      <c r="AI68" s="28"/>
      <c r="AJ68" s="349">
        <f>SUM(AG68:AI68)</f>
        <v>0</v>
      </c>
      <c r="AK68" s="373">
        <f>AE68+AJ68</f>
        <v>0</v>
      </c>
    </row>
    <row r="69" spans="1:37" s="29" customFormat="1" ht="13.5" customHeight="1" hidden="1">
      <c r="A69" s="91" t="s">
        <v>736</v>
      </c>
      <c r="B69" s="42" t="s">
        <v>737</v>
      </c>
      <c r="C69" s="34" t="s">
        <v>738</v>
      </c>
      <c r="D69" s="28">
        <f>O69+Z69+AK69</f>
        <v>0</v>
      </c>
      <c r="E69" s="99"/>
      <c r="F69" s="28"/>
      <c r="G69" s="28"/>
      <c r="H69" s="28"/>
      <c r="I69" s="349">
        <f t="shared" si="9"/>
        <v>0</v>
      </c>
      <c r="J69" s="99"/>
      <c r="K69" s="28"/>
      <c r="L69" s="28"/>
      <c r="M69" s="28"/>
      <c r="N69" s="349">
        <f>SUM(K69:M69)</f>
        <v>0</v>
      </c>
      <c r="O69" s="373">
        <f>I69+N69</f>
        <v>0</v>
      </c>
      <c r="P69" s="99"/>
      <c r="Q69" s="28"/>
      <c r="R69" s="28"/>
      <c r="S69" s="28"/>
      <c r="T69" s="349">
        <f>SUM(Q69:S69)</f>
        <v>0</v>
      </c>
      <c r="U69" s="99"/>
      <c r="V69" s="28"/>
      <c r="W69" s="28"/>
      <c r="X69" s="28"/>
      <c r="Y69" s="349">
        <f>SUM(V69:X69)</f>
        <v>0</v>
      </c>
      <c r="Z69" s="373">
        <f>T69+Y69</f>
        <v>0</v>
      </c>
      <c r="AA69" s="119"/>
      <c r="AB69" s="28"/>
      <c r="AC69" s="28"/>
      <c r="AD69" s="28"/>
      <c r="AE69" s="349">
        <f>SUM(AB69:AD69)</f>
        <v>0</v>
      </c>
      <c r="AF69" s="119"/>
      <c r="AG69" s="28"/>
      <c r="AH69" s="28"/>
      <c r="AI69" s="28"/>
      <c r="AJ69" s="349">
        <f>SUM(AG69:AI69)</f>
        <v>0</v>
      </c>
      <c r="AK69" s="373">
        <f>AE69+AJ69</f>
        <v>0</v>
      </c>
    </row>
    <row r="70" spans="1:37" ht="13.5" customHeight="1">
      <c r="A70" s="84" t="s">
        <v>739</v>
      </c>
      <c r="B70" s="85" t="s">
        <v>740</v>
      </c>
      <c r="C70" s="86" t="s">
        <v>741</v>
      </c>
      <c r="D70" s="104">
        <f>SUM(D65:D69)</f>
        <v>0</v>
      </c>
      <c r="F70" s="104">
        <f>SUM(F65:F69)</f>
        <v>0</v>
      </c>
      <c r="G70" s="104">
        <f>SUM(G65:G69)</f>
        <v>0</v>
      </c>
      <c r="H70" s="104">
        <f>SUM(H65:H69)</f>
        <v>0</v>
      </c>
      <c r="I70" s="104">
        <f>SUM(I65:I69)</f>
        <v>0</v>
      </c>
      <c r="K70" s="104">
        <f>SUM(K65:K69)</f>
        <v>0</v>
      </c>
      <c r="L70" s="104">
        <f>SUM(L65:L69)</f>
        <v>0</v>
      </c>
      <c r="M70" s="104">
        <f>SUM(M65:M69)</f>
        <v>0</v>
      </c>
      <c r="N70" s="104">
        <f>SUM(N65:N69)</f>
        <v>0</v>
      </c>
      <c r="O70" s="104">
        <f>SUM(O65:O69)</f>
        <v>0</v>
      </c>
      <c r="Q70" s="104">
        <f>SUM(Q65:Q69)</f>
        <v>0</v>
      </c>
      <c r="R70" s="104">
        <f>SUM(R65:R69)</f>
        <v>0</v>
      </c>
      <c r="S70" s="104">
        <f>SUM(S65:S69)</f>
        <v>0</v>
      </c>
      <c r="T70" s="104">
        <f>SUM(T65:T69)</f>
        <v>0</v>
      </c>
      <c r="V70" s="104">
        <f>SUM(V65:V69)</f>
        <v>0</v>
      </c>
      <c r="W70" s="104">
        <f>SUM(W65:W69)</f>
        <v>0</v>
      </c>
      <c r="X70" s="104">
        <f>SUM(X65:X69)</f>
        <v>0</v>
      </c>
      <c r="Y70" s="104">
        <f>SUM(Y65:Y69)</f>
        <v>0</v>
      </c>
      <c r="Z70" s="104">
        <f>SUM(Z65:Z69)</f>
        <v>0</v>
      </c>
      <c r="AB70" s="104">
        <f>SUM(AB65:AB69)</f>
        <v>0</v>
      </c>
      <c r="AC70" s="104">
        <f>SUM(AC65:AC69)</f>
        <v>0</v>
      </c>
      <c r="AD70" s="104">
        <f>SUM(AD65:AD69)</f>
        <v>0</v>
      </c>
      <c r="AE70" s="104">
        <f>SUM(AE65:AE69)</f>
        <v>0</v>
      </c>
      <c r="AG70" s="104">
        <f>SUM(AG65:AG69)</f>
        <v>0</v>
      </c>
      <c r="AH70" s="104">
        <f>SUM(AH65:AH69)</f>
        <v>0</v>
      </c>
      <c r="AI70" s="104">
        <f>SUM(AI65:AI69)</f>
        <v>0</v>
      </c>
      <c r="AJ70" s="104">
        <f>SUM(AJ65:AJ69)</f>
        <v>0</v>
      </c>
      <c r="AK70" s="104">
        <f>SUM(AK65:AK69)</f>
        <v>0</v>
      </c>
    </row>
    <row r="71" spans="1:37" s="29" customFormat="1" ht="13.5" customHeight="1" hidden="1">
      <c r="A71" s="91" t="s">
        <v>742</v>
      </c>
      <c r="B71" s="42" t="s">
        <v>743</v>
      </c>
      <c r="C71" s="34" t="s">
        <v>744</v>
      </c>
      <c r="D71" s="28">
        <f>O71+Z71+AK71</f>
        <v>0</v>
      </c>
      <c r="E71" s="99"/>
      <c r="F71" s="28"/>
      <c r="G71" s="28"/>
      <c r="H71" s="28"/>
      <c r="I71" s="349">
        <f t="shared" si="9"/>
        <v>0</v>
      </c>
      <c r="J71" s="99"/>
      <c r="K71" s="28"/>
      <c r="L71" s="28"/>
      <c r="M71" s="28"/>
      <c r="N71" s="349">
        <f>SUM(K71:M71)</f>
        <v>0</v>
      </c>
      <c r="O71" s="373">
        <f aca="true" t="shared" si="28" ref="O71:O76">I71+N71</f>
        <v>0</v>
      </c>
      <c r="P71" s="99"/>
      <c r="Q71" s="28"/>
      <c r="R71" s="28"/>
      <c r="S71" s="28"/>
      <c r="T71" s="349">
        <f>SUM(Q71:S71)</f>
        <v>0</v>
      </c>
      <c r="U71" s="99"/>
      <c r="V71" s="28"/>
      <c r="W71" s="28"/>
      <c r="X71" s="28"/>
      <c r="Y71" s="349">
        <f>SUM(V71:X71)</f>
        <v>0</v>
      </c>
      <c r="Z71" s="373">
        <f>T71+Y71</f>
        <v>0</v>
      </c>
      <c r="AA71" s="119"/>
      <c r="AB71" s="28"/>
      <c r="AC71" s="28"/>
      <c r="AD71" s="28"/>
      <c r="AE71" s="349">
        <f>SUM(AB71:AD71)</f>
        <v>0</v>
      </c>
      <c r="AF71" s="119"/>
      <c r="AG71" s="28"/>
      <c r="AH71" s="28"/>
      <c r="AI71" s="28"/>
      <c r="AJ71" s="349">
        <f>SUM(AG71:AI71)</f>
        <v>0</v>
      </c>
      <c r="AK71" s="373">
        <f>AE71+AJ71</f>
        <v>0</v>
      </c>
    </row>
    <row r="72" spans="1:37" s="29" customFormat="1" ht="13.5" customHeight="1" hidden="1">
      <c r="A72" s="91" t="s">
        <v>745</v>
      </c>
      <c r="B72" s="32" t="s">
        <v>746</v>
      </c>
      <c r="C72" s="34" t="s">
        <v>747</v>
      </c>
      <c r="D72" s="28">
        <f>O72+Z72+AK72</f>
        <v>0</v>
      </c>
      <c r="E72" s="99"/>
      <c r="F72" s="28"/>
      <c r="G72" s="28"/>
      <c r="H72" s="28"/>
      <c r="I72" s="349">
        <f t="shared" si="9"/>
        <v>0</v>
      </c>
      <c r="J72" s="99"/>
      <c r="K72" s="28"/>
      <c r="L72" s="28"/>
      <c r="M72" s="28"/>
      <c r="N72" s="349">
        <f>SUM(K72:M72)</f>
        <v>0</v>
      </c>
      <c r="O72" s="373">
        <f t="shared" si="28"/>
        <v>0</v>
      </c>
      <c r="P72" s="99"/>
      <c r="Q72" s="28"/>
      <c r="R72" s="28"/>
      <c r="S72" s="28"/>
      <c r="T72" s="349">
        <f>SUM(Q72:S72)</f>
        <v>0</v>
      </c>
      <c r="U72" s="99"/>
      <c r="V72" s="28"/>
      <c r="W72" s="28"/>
      <c r="X72" s="28"/>
      <c r="Y72" s="349">
        <f>SUM(V72:X72)</f>
        <v>0</v>
      </c>
      <c r="Z72" s="373">
        <f>T72+Y72</f>
        <v>0</v>
      </c>
      <c r="AA72" s="119"/>
      <c r="AB72" s="28"/>
      <c r="AC72" s="28"/>
      <c r="AD72" s="28"/>
      <c r="AE72" s="349">
        <f>SUM(AB72:AD72)</f>
        <v>0</v>
      </c>
      <c r="AF72" s="119"/>
      <c r="AG72" s="28"/>
      <c r="AH72" s="28"/>
      <c r="AI72" s="28"/>
      <c r="AJ72" s="349">
        <f>SUM(AG72:AI72)</f>
        <v>0</v>
      </c>
      <c r="AK72" s="373">
        <f>AE72+AJ72</f>
        <v>0</v>
      </c>
    </row>
    <row r="73" spans="1:37" s="29" customFormat="1" ht="13.5" customHeight="1" hidden="1">
      <c r="A73" s="91" t="s">
        <v>748</v>
      </c>
      <c r="B73" s="32" t="s">
        <v>749</v>
      </c>
      <c r="C73" s="34" t="s">
        <v>750</v>
      </c>
      <c r="D73" s="28">
        <f>O73+Z73+AK73</f>
        <v>0</v>
      </c>
      <c r="E73" s="99"/>
      <c r="F73" s="28"/>
      <c r="G73" s="28"/>
      <c r="H73" s="28"/>
      <c r="I73" s="349">
        <f t="shared" si="9"/>
        <v>0</v>
      </c>
      <c r="J73" s="99"/>
      <c r="K73" s="28"/>
      <c r="L73" s="28"/>
      <c r="M73" s="28"/>
      <c r="N73" s="349">
        <f>SUM(K73:M73)</f>
        <v>0</v>
      </c>
      <c r="O73" s="373">
        <f t="shared" si="28"/>
        <v>0</v>
      </c>
      <c r="P73" s="99"/>
      <c r="Q73" s="28"/>
      <c r="R73" s="28"/>
      <c r="S73" s="28"/>
      <c r="T73" s="349">
        <f>SUM(Q73:S73)</f>
        <v>0</v>
      </c>
      <c r="U73" s="99"/>
      <c r="V73" s="28"/>
      <c r="W73" s="28"/>
      <c r="X73" s="28"/>
      <c r="Y73" s="349">
        <f>SUM(V73:X73)</f>
        <v>0</v>
      </c>
      <c r="Z73" s="373">
        <f>T73+Y73</f>
        <v>0</v>
      </c>
      <c r="AA73" s="119"/>
      <c r="AB73" s="28"/>
      <c r="AC73" s="28"/>
      <c r="AD73" s="28"/>
      <c r="AE73" s="349">
        <f>SUM(AB73:AD73)</f>
        <v>0</v>
      </c>
      <c r="AF73" s="119"/>
      <c r="AG73" s="28"/>
      <c r="AH73" s="28"/>
      <c r="AI73" s="28"/>
      <c r="AJ73" s="349">
        <f>SUM(AG73:AI73)</f>
        <v>0</v>
      </c>
      <c r="AK73" s="373">
        <f>AE73+AJ73</f>
        <v>0</v>
      </c>
    </row>
    <row r="74" spans="1:37" s="29" customFormat="1" ht="13.5" customHeight="1" hidden="1">
      <c r="A74" s="91" t="s">
        <v>751</v>
      </c>
      <c r="B74" s="32" t="s">
        <v>752</v>
      </c>
      <c r="C74" s="34" t="s">
        <v>753</v>
      </c>
      <c r="D74" s="28">
        <f>O74+Z74+AK74</f>
        <v>0</v>
      </c>
      <c r="E74" s="99"/>
      <c r="F74" s="28"/>
      <c r="G74" s="28"/>
      <c r="H74" s="28"/>
      <c r="I74" s="349">
        <f t="shared" si="9"/>
        <v>0</v>
      </c>
      <c r="J74" s="99"/>
      <c r="K74" s="28"/>
      <c r="L74" s="28"/>
      <c r="M74" s="28"/>
      <c r="N74" s="349">
        <f>SUM(K74:M74)</f>
        <v>0</v>
      </c>
      <c r="O74" s="373">
        <f t="shared" si="28"/>
        <v>0</v>
      </c>
      <c r="P74" s="99"/>
      <c r="Q74" s="28"/>
      <c r="R74" s="28"/>
      <c r="S74" s="28"/>
      <c r="T74" s="349">
        <f>SUM(Q74:S74)</f>
        <v>0</v>
      </c>
      <c r="U74" s="99"/>
      <c r="V74" s="28"/>
      <c r="W74" s="28"/>
      <c r="X74" s="28"/>
      <c r="Y74" s="349">
        <f>SUM(V74:X74)</f>
        <v>0</v>
      </c>
      <c r="Z74" s="373">
        <f>T74+Y74</f>
        <v>0</v>
      </c>
      <c r="AA74" s="119"/>
      <c r="AB74" s="28"/>
      <c r="AC74" s="28"/>
      <c r="AD74" s="28"/>
      <c r="AE74" s="349">
        <f>SUM(AB74:AD74)</f>
        <v>0</v>
      </c>
      <c r="AF74" s="119"/>
      <c r="AG74" s="28"/>
      <c r="AH74" s="28"/>
      <c r="AI74" s="28"/>
      <c r="AJ74" s="349">
        <f>SUM(AG74:AI74)</f>
        <v>0</v>
      </c>
      <c r="AK74" s="373">
        <f>AE74+AJ74</f>
        <v>0</v>
      </c>
    </row>
    <row r="75" spans="1:37" s="29" customFormat="1" ht="13.5" customHeight="1" hidden="1">
      <c r="A75" s="91" t="s">
        <v>754</v>
      </c>
      <c r="B75" s="42" t="s">
        <v>755</v>
      </c>
      <c r="C75" s="34" t="s">
        <v>756</v>
      </c>
      <c r="D75" s="28">
        <f>O75+Z75+AK75</f>
        <v>0</v>
      </c>
      <c r="E75" s="99"/>
      <c r="F75" s="28"/>
      <c r="G75" s="28"/>
      <c r="H75" s="28"/>
      <c r="I75" s="349">
        <f aca="true" t="shared" si="29" ref="I75:I107">SUM(F75:H75)</f>
        <v>0</v>
      </c>
      <c r="J75" s="99"/>
      <c r="K75" s="28"/>
      <c r="L75" s="28"/>
      <c r="M75" s="28"/>
      <c r="N75" s="349">
        <f>SUM(K75:M75)</f>
        <v>0</v>
      </c>
      <c r="O75" s="373">
        <f t="shared" si="28"/>
        <v>0</v>
      </c>
      <c r="P75" s="99"/>
      <c r="Q75" s="28"/>
      <c r="R75" s="28"/>
      <c r="S75" s="28"/>
      <c r="T75" s="349">
        <f>SUM(Q75:S75)</f>
        <v>0</v>
      </c>
      <c r="U75" s="99"/>
      <c r="V75" s="28"/>
      <c r="W75" s="28"/>
      <c r="X75" s="28"/>
      <c r="Y75" s="349">
        <f>SUM(V75:X75)</f>
        <v>0</v>
      </c>
      <c r="Z75" s="373">
        <f>T75+Y75</f>
        <v>0</v>
      </c>
      <c r="AA75" s="119"/>
      <c r="AB75" s="28"/>
      <c r="AC75" s="28"/>
      <c r="AD75" s="28"/>
      <c r="AE75" s="349">
        <f>SUM(AB75:AD75)</f>
        <v>0</v>
      </c>
      <c r="AF75" s="119"/>
      <c r="AG75" s="28"/>
      <c r="AH75" s="28"/>
      <c r="AI75" s="28"/>
      <c r="AJ75" s="349">
        <f>SUM(AG75:AI75)</f>
        <v>0</v>
      </c>
      <c r="AK75" s="373">
        <f>AE75+AJ75</f>
        <v>0</v>
      </c>
    </row>
    <row r="76" spans="1:37" ht="13.5" customHeight="1">
      <c r="A76" s="84" t="s">
        <v>757</v>
      </c>
      <c r="B76" s="85" t="s">
        <v>758</v>
      </c>
      <c r="C76" s="86" t="s">
        <v>759</v>
      </c>
      <c r="D76" s="104">
        <f>SUM(D71:D75)</f>
        <v>0</v>
      </c>
      <c r="F76" s="104">
        <f>SUM(F71:F75)</f>
        <v>0</v>
      </c>
      <c r="G76" s="104">
        <f>SUM(G71:G75)</f>
        <v>0</v>
      </c>
      <c r="H76" s="104">
        <f>SUM(H71:H75)</f>
        <v>0</v>
      </c>
      <c r="I76" s="104">
        <f>SUM(I71:I75)</f>
        <v>0</v>
      </c>
      <c r="K76" s="104">
        <f>SUM(K71:K75)</f>
        <v>0</v>
      </c>
      <c r="L76" s="104">
        <f>SUM(L71:L75)</f>
        <v>0</v>
      </c>
      <c r="M76" s="104">
        <f>SUM(M71:M75)</f>
        <v>0</v>
      </c>
      <c r="N76" s="104">
        <f>SUM(N71:N75)</f>
        <v>0</v>
      </c>
      <c r="O76" s="373">
        <f t="shared" si="28"/>
        <v>0</v>
      </c>
      <c r="Q76" s="104">
        <f>SUM(Q71:Q75)</f>
        <v>0</v>
      </c>
      <c r="R76" s="104">
        <f>SUM(R71:R75)</f>
        <v>0</v>
      </c>
      <c r="S76" s="104">
        <f>SUM(S71:S75)</f>
        <v>0</v>
      </c>
      <c r="T76" s="104">
        <f>SUM(T71:T75)</f>
        <v>0</v>
      </c>
      <c r="V76" s="104">
        <f>SUM(V71:V75)</f>
        <v>0</v>
      </c>
      <c r="W76" s="104">
        <f>SUM(W71:W75)</f>
        <v>0</v>
      </c>
      <c r="X76" s="104">
        <f>SUM(X71:X75)</f>
        <v>0</v>
      </c>
      <c r="Y76" s="104">
        <f>SUM(Y71:Y75)</f>
        <v>0</v>
      </c>
      <c r="Z76" s="104">
        <f>SUM(Z71:Z75)</f>
        <v>0</v>
      </c>
      <c r="AB76" s="104">
        <f>SUM(AB71:AB75)</f>
        <v>0</v>
      </c>
      <c r="AC76" s="104">
        <f>SUM(AC71:AC75)</f>
        <v>0</v>
      </c>
      <c r="AD76" s="104">
        <f>SUM(AD71:AD75)</f>
        <v>0</v>
      </c>
      <c r="AE76" s="104">
        <f>SUM(AE71:AE75)</f>
        <v>0</v>
      </c>
      <c r="AG76" s="104">
        <f>SUM(AG71:AG75)</f>
        <v>0</v>
      </c>
      <c r="AH76" s="104">
        <f>SUM(AH71:AH75)</f>
        <v>0</v>
      </c>
      <c r="AI76" s="104">
        <f>SUM(AI71:AI75)</f>
        <v>0</v>
      </c>
      <c r="AJ76" s="104">
        <f>SUM(AJ71:AJ75)</f>
        <v>0</v>
      </c>
      <c r="AK76" s="104">
        <f>SUM(AK71:AK75)</f>
        <v>0</v>
      </c>
    </row>
    <row r="77" spans="1:37" ht="13.5" customHeight="1">
      <c r="A77" s="87" t="s">
        <v>760</v>
      </c>
      <c r="B77" s="90" t="s">
        <v>761</v>
      </c>
      <c r="C77" s="88" t="s">
        <v>762</v>
      </c>
      <c r="D77" s="89">
        <f>D76+D70+D64+D58+D28+D22</f>
        <v>327950000</v>
      </c>
      <c r="F77" s="89">
        <f>F76+F70+F64+F58+F28+F22</f>
        <v>42135000</v>
      </c>
      <c r="G77" s="89">
        <f>G76+G70+G64+G58+G28+G22</f>
        <v>0</v>
      </c>
      <c r="H77" s="89">
        <f>H76+H70+H64+H58+H28+H22</f>
        <v>0</v>
      </c>
      <c r="I77" s="89">
        <f>I76+I70+I64+I58+I28+I22</f>
        <v>42135000</v>
      </c>
      <c r="K77" s="89">
        <f>K76+K70+K64+K58+K28+K22</f>
        <v>42965000</v>
      </c>
      <c r="L77" s="89">
        <f>L76+L70+L64+L58+L28+L22</f>
        <v>0</v>
      </c>
      <c r="M77" s="89">
        <f>M76+M70+M64+M58+M28+M22</f>
        <v>0</v>
      </c>
      <c r="N77" s="89">
        <f>N76+N70+N64+N58+N28+N22</f>
        <v>42965000</v>
      </c>
      <c r="O77" s="89">
        <f>O76+O70+O64+O58+O28+O22</f>
        <v>85100000</v>
      </c>
      <c r="Q77" s="89">
        <f>Q76+Q70+Q64+Q58+Q28+Q22</f>
        <v>29802000</v>
      </c>
      <c r="R77" s="89">
        <f>R76+R70+R64+R58+R28+R22</f>
        <v>0</v>
      </c>
      <c r="S77" s="89">
        <f>S76+S70+S64+S58+S28+S22</f>
        <v>0</v>
      </c>
      <c r="T77" s="89">
        <f>T76+T70+T64+T58+T28+T22</f>
        <v>29802000</v>
      </c>
      <c r="V77" s="89">
        <f>V76+V70+V64+V58+V28+V22</f>
        <v>9298000</v>
      </c>
      <c r="W77" s="89">
        <f>W76+W70+W64+W58+W28+W22</f>
        <v>0</v>
      </c>
      <c r="X77" s="89">
        <f>X76+X70+X64+X58+X28+X22</f>
        <v>0</v>
      </c>
      <c r="Y77" s="89">
        <f>Y76+Y70+Y64+Y58+Y28+Y22</f>
        <v>9298000</v>
      </c>
      <c r="Z77" s="89">
        <f>Z76+Z70+Z64+Z58+Z28+Z22</f>
        <v>39100000</v>
      </c>
      <c r="AB77" s="89">
        <f>AB76+AB70+AB64+AB58+AB28+AB22</f>
        <v>102320000</v>
      </c>
      <c r="AC77" s="89">
        <f>AC76+AC70+AC64+AC58+AC28+AC22</f>
        <v>-12740000</v>
      </c>
      <c r="AD77" s="89">
        <f>AD76+AD70+AD64+AD58+AD28+AD22</f>
        <v>0</v>
      </c>
      <c r="AE77" s="89">
        <f>AE76+AE70+AE64+AE58+AE28+AE22</f>
        <v>89580000</v>
      </c>
      <c r="AG77" s="89">
        <f>AG76+AG70+AG64+AG58+AG28+AG22</f>
        <v>101430000</v>
      </c>
      <c r="AH77" s="89">
        <f>AH76+AH70+AH64+AH58+AH28+AH22</f>
        <v>12740000</v>
      </c>
      <c r="AI77" s="89">
        <f>AI76+AI70+AI64+AI58+AI28+AI22</f>
        <v>0</v>
      </c>
      <c r="AJ77" s="89">
        <f>AJ76+AJ70+AJ64+AJ58+AJ28+AJ22</f>
        <v>114170000</v>
      </c>
      <c r="AK77" s="89">
        <f>AK76+AK70+AK64+AK58+AK28+AK22</f>
        <v>203750000</v>
      </c>
    </row>
    <row r="78" spans="1:32" s="80" customFormat="1" ht="13.5" customHeight="1">
      <c r="A78" s="346"/>
      <c r="B78" s="347"/>
      <c r="C78" s="347"/>
      <c r="D78" s="348"/>
      <c r="AA78" s="100"/>
      <c r="AF78" s="100"/>
    </row>
    <row r="79" spans="1:37" ht="13.5" customHeight="1" hidden="1">
      <c r="A79" s="91" t="s">
        <v>377</v>
      </c>
      <c r="B79" s="92" t="s">
        <v>823</v>
      </c>
      <c r="C79" s="32" t="s">
        <v>824</v>
      </c>
      <c r="D79" s="349">
        <f>O79+Z79+AK79</f>
        <v>0</v>
      </c>
      <c r="F79" s="349">
        <v>0</v>
      </c>
      <c r="G79" s="349"/>
      <c r="H79" s="349"/>
      <c r="I79" s="349">
        <f t="shared" si="29"/>
        <v>0</v>
      </c>
      <c r="K79" s="349">
        <v>0</v>
      </c>
      <c r="L79" s="349"/>
      <c r="M79" s="349"/>
      <c r="N79" s="349">
        <f>SUM(K79:M79)</f>
        <v>0</v>
      </c>
      <c r="O79" s="373">
        <f aca="true" t="shared" si="30" ref="O79:O108">I79+N79</f>
        <v>0</v>
      </c>
      <c r="Q79" s="349">
        <v>0</v>
      </c>
      <c r="R79" s="349"/>
      <c r="S79" s="349"/>
      <c r="T79" s="349">
        <f>SUM(Q79:S79)</f>
        <v>0</v>
      </c>
      <c r="V79" s="349">
        <v>0</v>
      </c>
      <c r="W79" s="349"/>
      <c r="X79" s="349"/>
      <c r="Y79" s="349">
        <f>SUM(V79:X79)</f>
        <v>0</v>
      </c>
      <c r="Z79" s="373">
        <f>T79+Y79</f>
        <v>0</v>
      </c>
      <c r="AB79" s="349">
        <v>0</v>
      </c>
      <c r="AC79" s="349"/>
      <c r="AD79" s="349"/>
      <c r="AE79" s="349">
        <f>SUM(AB79:AD79)</f>
        <v>0</v>
      </c>
      <c r="AG79" s="349">
        <v>0</v>
      </c>
      <c r="AH79" s="349"/>
      <c r="AI79" s="349"/>
      <c r="AJ79" s="349">
        <f>SUM(AG79:AI79)</f>
        <v>0</v>
      </c>
      <c r="AK79" s="373">
        <f>AE79+AJ79</f>
        <v>0</v>
      </c>
    </row>
    <row r="80" spans="1:37" ht="13.5" customHeight="1" hidden="1">
      <c r="A80" s="91" t="s">
        <v>380</v>
      </c>
      <c r="B80" s="42" t="s">
        <v>825</v>
      </c>
      <c r="C80" s="32" t="s">
        <v>826</v>
      </c>
      <c r="D80" s="349">
        <f>O80+Z80+AK80</f>
        <v>0</v>
      </c>
      <c r="F80" s="349">
        <v>0</v>
      </c>
      <c r="G80" s="349"/>
      <c r="H80" s="349"/>
      <c r="I80" s="349">
        <f t="shared" si="29"/>
        <v>0</v>
      </c>
      <c r="K80" s="349">
        <v>0</v>
      </c>
      <c r="L80" s="349"/>
      <c r="M80" s="349"/>
      <c r="N80" s="349">
        <f>SUM(K80:M80)</f>
        <v>0</v>
      </c>
      <c r="O80" s="373">
        <f t="shared" si="30"/>
        <v>0</v>
      </c>
      <c r="Q80" s="349">
        <v>0</v>
      </c>
      <c r="R80" s="349"/>
      <c r="S80" s="349"/>
      <c r="T80" s="349">
        <f>SUM(Q80:S80)</f>
        <v>0</v>
      </c>
      <c r="V80" s="349">
        <v>0</v>
      </c>
      <c r="W80" s="349"/>
      <c r="X80" s="349"/>
      <c r="Y80" s="349">
        <f>SUM(V80:X80)</f>
        <v>0</v>
      </c>
      <c r="Z80" s="373">
        <f>T80+Y80</f>
        <v>0</v>
      </c>
      <c r="AB80" s="349">
        <v>0</v>
      </c>
      <c r="AC80" s="349"/>
      <c r="AD80" s="349"/>
      <c r="AE80" s="349">
        <f>SUM(AB80:AD80)</f>
        <v>0</v>
      </c>
      <c r="AG80" s="349">
        <v>0</v>
      </c>
      <c r="AH80" s="349"/>
      <c r="AI80" s="349"/>
      <c r="AJ80" s="349">
        <f>SUM(AG80:AI80)</f>
        <v>0</v>
      </c>
      <c r="AK80" s="373">
        <f>AE80+AJ80</f>
        <v>0</v>
      </c>
    </row>
    <row r="81" spans="1:37" ht="13.5" customHeight="1" hidden="1">
      <c r="A81" s="91" t="s">
        <v>383</v>
      </c>
      <c r="B81" s="92" t="s">
        <v>827</v>
      </c>
      <c r="C81" s="32" t="s">
        <v>828</v>
      </c>
      <c r="D81" s="349">
        <f>O81+Z81+AK81</f>
        <v>0</v>
      </c>
      <c r="F81" s="349">
        <v>0</v>
      </c>
      <c r="G81" s="349"/>
      <c r="H81" s="349"/>
      <c r="I81" s="349">
        <f t="shared" si="29"/>
        <v>0</v>
      </c>
      <c r="K81" s="349">
        <v>0</v>
      </c>
      <c r="L81" s="349"/>
      <c r="M81" s="349"/>
      <c r="N81" s="349">
        <f>SUM(K81:M81)</f>
        <v>0</v>
      </c>
      <c r="O81" s="373">
        <f t="shared" si="30"/>
        <v>0</v>
      </c>
      <c r="Q81" s="349">
        <v>0</v>
      </c>
      <c r="R81" s="349"/>
      <c r="S81" s="349"/>
      <c r="T81" s="349">
        <f>SUM(Q81:S81)</f>
        <v>0</v>
      </c>
      <c r="V81" s="349">
        <v>0</v>
      </c>
      <c r="W81" s="349"/>
      <c r="X81" s="349"/>
      <c r="Y81" s="349">
        <f>SUM(V81:X81)</f>
        <v>0</v>
      </c>
      <c r="Z81" s="373">
        <f>T81+Y81</f>
        <v>0</v>
      </c>
      <c r="AB81" s="349">
        <v>0</v>
      </c>
      <c r="AC81" s="349"/>
      <c r="AD81" s="349"/>
      <c r="AE81" s="349">
        <f>SUM(AB81:AD81)</f>
        <v>0</v>
      </c>
      <c r="AG81" s="349">
        <v>0</v>
      </c>
      <c r="AH81" s="349"/>
      <c r="AI81" s="349"/>
      <c r="AJ81" s="349">
        <f>SUM(AG81:AI81)</f>
        <v>0</v>
      </c>
      <c r="AK81" s="373">
        <f>AE81+AJ81</f>
        <v>0</v>
      </c>
    </row>
    <row r="82" spans="1:37" ht="13.5" customHeight="1">
      <c r="A82" s="94" t="s">
        <v>386</v>
      </c>
      <c r="B82" s="95" t="s">
        <v>829</v>
      </c>
      <c r="C82" s="96" t="s">
        <v>830</v>
      </c>
      <c r="D82" s="56">
        <f>SUM(D79:D81)</f>
        <v>0</v>
      </c>
      <c r="F82" s="56">
        <f>SUM(F79:F81)</f>
        <v>0</v>
      </c>
      <c r="G82" s="56">
        <f>SUM(G79:G81)</f>
        <v>0</v>
      </c>
      <c r="H82" s="56">
        <f>SUM(H79:H81)</f>
        <v>0</v>
      </c>
      <c r="I82" s="662">
        <f>SUM(I79:I81)</f>
        <v>0</v>
      </c>
      <c r="K82" s="56">
        <f>SUM(K79:K81)</f>
        <v>0</v>
      </c>
      <c r="L82" s="56">
        <f>SUM(L79:L81)</f>
        <v>0</v>
      </c>
      <c r="M82" s="56">
        <f>SUM(M79:M81)</f>
        <v>0</v>
      </c>
      <c r="N82" s="662">
        <f>SUM(N79:N81)</f>
        <v>0</v>
      </c>
      <c r="O82" s="663">
        <f>SUM(O79:O81)</f>
        <v>0</v>
      </c>
      <c r="Q82" s="56">
        <f>SUM(Q79:Q81)</f>
        <v>0</v>
      </c>
      <c r="R82" s="56">
        <f>SUM(R79:R81)</f>
        <v>0</v>
      </c>
      <c r="S82" s="56">
        <f>SUM(S79:S81)</f>
        <v>0</v>
      </c>
      <c r="T82" s="662">
        <f>SUM(T79:T81)</f>
        <v>0</v>
      </c>
      <c r="V82" s="56">
        <f>SUM(V79:V81)</f>
        <v>0</v>
      </c>
      <c r="W82" s="56">
        <f>SUM(W79:W81)</f>
        <v>0</v>
      </c>
      <c r="X82" s="56">
        <f>SUM(X79:X81)</f>
        <v>0</v>
      </c>
      <c r="Y82" s="662">
        <f>SUM(Y79:Y81)</f>
        <v>0</v>
      </c>
      <c r="Z82" s="663">
        <f>SUM(Z79:Z81)</f>
        <v>0</v>
      </c>
      <c r="AB82" s="56">
        <f>SUM(AB79:AB81)</f>
        <v>0</v>
      </c>
      <c r="AC82" s="56">
        <f>SUM(AC79:AC81)</f>
        <v>0</v>
      </c>
      <c r="AD82" s="56">
        <f>SUM(AD79:AD81)</f>
        <v>0</v>
      </c>
      <c r="AE82" s="662">
        <f>SUM(AE79:AE81)</f>
        <v>0</v>
      </c>
      <c r="AG82" s="56">
        <f>SUM(AG79:AG81)</f>
        <v>0</v>
      </c>
      <c r="AH82" s="56">
        <f>SUM(AH79:AH81)</f>
        <v>0</v>
      </c>
      <c r="AI82" s="56">
        <f>SUM(AI79:AI81)</f>
        <v>0</v>
      </c>
      <c r="AJ82" s="662">
        <f>SUM(AJ79:AJ81)</f>
        <v>0</v>
      </c>
      <c r="AK82" s="663">
        <f>SUM(AK79:AK81)</f>
        <v>0</v>
      </c>
    </row>
    <row r="83" spans="1:37" ht="13.5" customHeight="1" hidden="1">
      <c r="A83" s="91" t="s">
        <v>389</v>
      </c>
      <c r="B83" s="42" t="s">
        <v>831</v>
      </c>
      <c r="C83" s="32" t="s">
        <v>832</v>
      </c>
      <c r="D83" s="349">
        <f>O83+Z83+AK83</f>
        <v>0</v>
      </c>
      <c r="F83" s="349">
        <v>0</v>
      </c>
      <c r="G83" s="349"/>
      <c r="H83" s="349"/>
      <c r="I83" s="349">
        <f t="shared" si="29"/>
        <v>0</v>
      </c>
      <c r="K83" s="349">
        <v>0</v>
      </c>
      <c r="L83" s="349"/>
      <c r="M83" s="349"/>
      <c r="N83" s="349">
        <f>SUM(K83:M83)</f>
        <v>0</v>
      </c>
      <c r="O83" s="373">
        <f t="shared" si="30"/>
        <v>0</v>
      </c>
      <c r="Q83" s="349">
        <v>0</v>
      </c>
      <c r="R83" s="349"/>
      <c r="S83" s="349"/>
      <c r="T83" s="349">
        <f>SUM(Q83:S83)</f>
        <v>0</v>
      </c>
      <c r="V83" s="349">
        <v>0</v>
      </c>
      <c r="W83" s="349"/>
      <c r="X83" s="349"/>
      <c r="Y83" s="349">
        <f>SUM(V83:X83)</f>
        <v>0</v>
      </c>
      <c r="Z83" s="373">
        <f>T83+Y83</f>
        <v>0</v>
      </c>
      <c r="AB83" s="349">
        <v>0</v>
      </c>
      <c r="AC83" s="349"/>
      <c r="AD83" s="349"/>
      <c r="AE83" s="349">
        <f>SUM(AB83:AD83)</f>
        <v>0</v>
      </c>
      <c r="AG83" s="349">
        <v>0</v>
      </c>
      <c r="AH83" s="349"/>
      <c r="AI83" s="349"/>
      <c r="AJ83" s="349">
        <f>SUM(AG83:AI83)</f>
        <v>0</v>
      </c>
      <c r="AK83" s="373">
        <f>AE83+AJ83</f>
        <v>0</v>
      </c>
    </row>
    <row r="84" spans="1:37" ht="13.5" customHeight="1" hidden="1">
      <c r="A84" s="91" t="s">
        <v>392</v>
      </c>
      <c r="B84" s="92" t="s">
        <v>833</v>
      </c>
      <c r="C84" s="32" t="s">
        <v>834</v>
      </c>
      <c r="D84" s="349">
        <f>O84+Z84+AK84</f>
        <v>0</v>
      </c>
      <c r="F84" s="349">
        <v>0</v>
      </c>
      <c r="G84" s="349"/>
      <c r="H84" s="349"/>
      <c r="I84" s="349">
        <f t="shared" si="29"/>
        <v>0</v>
      </c>
      <c r="K84" s="349">
        <v>0</v>
      </c>
      <c r="L84" s="349"/>
      <c r="M84" s="349"/>
      <c r="N84" s="349">
        <f>SUM(K84:M84)</f>
        <v>0</v>
      </c>
      <c r="O84" s="373">
        <f t="shared" si="30"/>
        <v>0</v>
      </c>
      <c r="Q84" s="349">
        <v>0</v>
      </c>
      <c r="R84" s="349"/>
      <c r="S84" s="349"/>
      <c r="T84" s="349">
        <f>SUM(Q84:S84)</f>
        <v>0</v>
      </c>
      <c r="V84" s="349">
        <v>0</v>
      </c>
      <c r="W84" s="349"/>
      <c r="X84" s="349"/>
      <c r="Y84" s="349">
        <f>SUM(V84:X84)</f>
        <v>0</v>
      </c>
      <c r="Z84" s="373">
        <f>T84+Y84</f>
        <v>0</v>
      </c>
      <c r="AB84" s="349">
        <v>0</v>
      </c>
      <c r="AC84" s="349"/>
      <c r="AD84" s="349"/>
      <c r="AE84" s="349">
        <f>SUM(AB84:AD84)</f>
        <v>0</v>
      </c>
      <c r="AG84" s="349">
        <v>0</v>
      </c>
      <c r="AH84" s="349"/>
      <c r="AI84" s="349"/>
      <c r="AJ84" s="349">
        <f>SUM(AG84:AI84)</f>
        <v>0</v>
      </c>
      <c r="AK84" s="373">
        <f>AE84+AJ84</f>
        <v>0</v>
      </c>
    </row>
    <row r="85" spans="1:37" ht="13.5" customHeight="1" hidden="1">
      <c r="A85" s="91" t="s">
        <v>395</v>
      </c>
      <c r="B85" s="42" t="s">
        <v>835</v>
      </c>
      <c r="C85" s="32" t="s">
        <v>836</v>
      </c>
      <c r="D85" s="349">
        <f>O85+Z85+AK85</f>
        <v>0</v>
      </c>
      <c r="F85" s="349">
        <v>0</v>
      </c>
      <c r="G85" s="349"/>
      <c r="H85" s="349"/>
      <c r="I85" s="349">
        <f t="shared" si="29"/>
        <v>0</v>
      </c>
      <c r="K85" s="349">
        <v>0</v>
      </c>
      <c r="L85" s="349"/>
      <c r="M85" s="349"/>
      <c r="N85" s="349">
        <f>SUM(K85:M85)</f>
        <v>0</v>
      </c>
      <c r="O85" s="373">
        <f t="shared" si="30"/>
        <v>0</v>
      </c>
      <c r="Q85" s="349">
        <v>0</v>
      </c>
      <c r="R85" s="349"/>
      <c r="S85" s="349"/>
      <c r="T85" s="349">
        <f>SUM(Q85:S85)</f>
        <v>0</v>
      </c>
      <c r="V85" s="349">
        <v>0</v>
      </c>
      <c r="W85" s="349"/>
      <c r="X85" s="349"/>
      <c r="Y85" s="349">
        <f>SUM(V85:X85)</f>
        <v>0</v>
      </c>
      <c r="Z85" s="373">
        <f>T85+Y85</f>
        <v>0</v>
      </c>
      <c r="AB85" s="349">
        <v>0</v>
      </c>
      <c r="AC85" s="349"/>
      <c r="AD85" s="349"/>
      <c r="AE85" s="349">
        <f>SUM(AB85:AD85)</f>
        <v>0</v>
      </c>
      <c r="AG85" s="349">
        <v>0</v>
      </c>
      <c r="AH85" s="349"/>
      <c r="AI85" s="349"/>
      <c r="AJ85" s="349">
        <f>SUM(AG85:AI85)</f>
        <v>0</v>
      </c>
      <c r="AK85" s="373">
        <f>AE85+AJ85</f>
        <v>0</v>
      </c>
    </row>
    <row r="86" spans="1:37" ht="13.5" customHeight="1" hidden="1">
      <c r="A86" s="91" t="s">
        <v>398</v>
      </c>
      <c r="B86" s="92" t="s">
        <v>837</v>
      </c>
      <c r="C86" s="32" t="s">
        <v>838</v>
      </c>
      <c r="D86" s="349">
        <f>O86+Z86+AK86</f>
        <v>0</v>
      </c>
      <c r="F86" s="349">
        <v>0</v>
      </c>
      <c r="G86" s="349"/>
      <c r="H86" s="349"/>
      <c r="I86" s="349">
        <f t="shared" si="29"/>
        <v>0</v>
      </c>
      <c r="K86" s="349">
        <v>0</v>
      </c>
      <c r="L86" s="349"/>
      <c r="M86" s="349"/>
      <c r="N86" s="349">
        <f>SUM(K86:M86)</f>
        <v>0</v>
      </c>
      <c r="O86" s="373">
        <f t="shared" si="30"/>
        <v>0</v>
      </c>
      <c r="Q86" s="349">
        <v>0</v>
      </c>
      <c r="R86" s="349"/>
      <c r="S86" s="349"/>
      <c r="T86" s="349">
        <f>SUM(Q86:S86)</f>
        <v>0</v>
      </c>
      <c r="V86" s="349">
        <v>0</v>
      </c>
      <c r="W86" s="349"/>
      <c r="X86" s="349"/>
      <c r="Y86" s="349">
        <f>SUM(V86:X86)</f>
        <v>0</v>
      </c>
      <c r="Z86" s="373">
        <f>T86+Y86</f>
        <v>0</v>
      </c>
      <c r="AB86" s="349">
        <v>0</v>
      </c>
      <c r="AC86" s="349"/>
      <c r="AD86" s="349"/>
      <c r="AE86" s="349">
        <f>SUM(AB86:AD86)</f>
        <v>0</v>
      </c>
      <c r="AG86" s="349">
        <v>0</v>
      </c>
      <c r="AH86" s="349"/>
      <c r="AI86" s="349"/>
      <c r="AJ86" s="349">
        <f>SUM(AG86:AI86)</f>
        <v>0</v>
      </c>
      <c r="AK86" s="373">
        <f>AE86+AJ86</f>
        <v>0</v>
      </c>
    </row>
    <row r="87" spans="1:37" ht="13.5" customHeight="1">
      <c r="A87" s="94" t="s">
        <v>401</v>
      </c>
      <c r="B87" s="97" t="s">
        <v>839</v>
      </c>
      <c r="C87" s="96" t="s">
        <v>840</v>
      </c>
      <c r="D87" s="56">
        <f>SUM(D83:D86)</f>
        <v>0</v>
      </c>
      <c r="F87" s="56">
        <f>SUM(F83:F86)</f>
        <v>0</v>
      </c>
      <c r="G87" s="56">
        <f>SUM(G83:G86)</f>
        <v>0</v>
      </c>
      <c r="H87" s="56">
        <f>SUM(H83:H86)</f>
        <v>0</v>
      </c>
      <c r="I87" s="662">
        <f>SUM(I83:I86)</f>
        <v>0</v>
      </c>
      <c r="K87" s="56">
        <f>SUM(K83:K86)</f>
        <v>0</v>
      </c>
      <c r="L87" s="56">
        <f>SUM(L83:L86)</f>
        <v>0</v>
      </c>
      <c r="M87" s="56">
        <f>SUM(M83:M86)</f>
        <v>0</v>
      </c>
      <c r="N87" s="662">
        <f>SUM(N83:N86)</f>
        <v>0</v>
      </c>
      <c r="O87" s="663">
        <f>SUM(O83:O86)</f>
        <v>0</v>
      </c>
      <c r="Q87" s="56">
        <f>SUM(Q83:Q86)</f>
        <v>0</v>
      </c>
      <c r="R87" s="56">
        <f>SUM(R83:R86)</f>
        <v>0</v>
      </c>
      <c r="S87" s="56">
        <f>SUM(S83:S86)</f>
        <v>0</v>
      </c>
      <c r="T87" s="662">
        <f>SUM(T83:T86)</f>
        <v>0</v>
      </c>
      <c r="V87" s="56">
        <f>SUM(V83:V86)</f>
        <v>0</v>
      </c>
      <c r="W87" s="56">
        <f>SUM(W83:W86)</f>
        <v>0</v>
      </c>
      <c r="X87" s="56">
        <f>SUM(X83:X86)</f>
        <v>0</v>
      </c>
      <c r="Y87" s="662">
        <f>SUM(Y83:Y86)</f>
        <v>0</v>
      </c>
      <c r="Z87" s="663">
        <f>SUM(Z83:Z86)</f>
        <v>0</v>
      </c>
      <c r="AB87" s="56">
        <f>SUM(AB83:AB86)</f>
        <v>0</v>
      </c>
      <c r="AC87" s="56">
        <f>SUM(AC83:AC86)</f>
        <v>0</v>
      </c>
      <c r="AD87" s="56">
        <f>SUM(AD83:AD86)</f>
        <v>0</v>
      </c>
      <c r="AE87" s="662">
        <f>SUM(AE83:AE86)</f>
        <v>0</v>
      </c>
      <c r="AG87" s="56">
        <f>SUM(AG83:AG86)</f>
        <v>0</v>
      </c>
      <c r="AH87" s="56">
        <f>SUM(AH83:AH86)</f>
        <v>0</v>
      </c>
      <c r="AI87" s="56">
        <f>SUM(AI83:AI86)</f>
        <v>0</v>
      </c>
      <c r="AJ87" s="662">
        <f>SUM(AJ83:AJ86)</f>
        <v>0</v>
      </c>
      <c r="AK87" s="663">
        <f>SUM(AK83:AK86)</f>
        <v>0</v>
      </c>
    </row>
    <row r="88" spans="1:37" ht="13.5" customHeight="1" hidden="1">
      <c r="A88" s="91" t="s">
        <v>404</v>
      </c>
      <c r="B88" s="32" t="s">
        <v>841</v>
      </c>
      <c r="C88" s="32" t="s">
        <v>842</v>
      </c>
      <c r="D88" s="28">
        <f>O88+Z88+AK88</f>
        <v>0</v>
      </c>
      <c r="F88" s="28">
        <v>0</v>
      </c>
      <c r="G88" s="28"/>
      <c r="H88" s="28"/>
      <c r="I88" s="349">
        <f t="shared" si="29"/>
        <v>0</v>
      </c>
      <c r="K88" s="28">
        <v>0</v>
      </c>
      <c r="L88" s="28"/>
      <c r="M88" s="28"/>
      <c r="N88" s="349">
        <f>SUM(K88:M88)</f>
        <v>0</v>
      </c>
      <c r="O88" s="373">
        <f t="shared" si="30"/>
        <v>0</v>
      </c>
      <c r="Q88" s="28">
        <v>0</v>
      </c>
      <c r="R88" s="28"/>
      <c r="S88" s="28"/>
      <c r="T88" s="349">
        <f>SUM(Q88:S88)</f>
        <v>0</v>
      </c>
      <c r="V88" s="28">
        <v>0</v>
      </c>
      <c r="W88" s="28"/>
      <c r="X88" s="28"/>
      <c r="Y88" s="349">
        <f>SUM(V88:X88)</f>
        <v>0</v>
      </c>
      <c r="Z88" s="373">
        <f>T88+Y88</f>
        <v>0</v>
      </c>
      <c r="AB88" s="28">
        <v>0</v>
      </c>
      <c r="AC88" s="28"/>
      <c r="AD88" s="28"/>
      <c r="AE88" s="349">
        <f>SUM(AB88:AD88)</f>
        <v>0</v>
      </c>
      <c r="AG88" s="28">
        <v>0</v>
      </c>
      <c r="AH88" s="28"/>
      <c r="AI88" s="28"/>
      <c r="AJ88" s="349">
        <f>SUM(AG88:AI88)</f>
        <v>0</v>
      </c>
      <c r="AK88" s="373">
        <f>AE88+AJ88</f>
        <v>0</v>
      </c>
    </row>
    <row r="89" spans="1:37" ht="13.5" customHeight="1" hidden="1">
      <c r="A89" s="91" t="s">
        <v>407</v>
      </c>
      <c r="B89" s="32" t="s">
        <v>843</v>
      </c>
      <c r="C89" s="32" t="s">
        <v>844</v>
      </c>
      <c r="D89" s="28">
        <f>O89+Z89+AK89</f>
        <v>0</v>
      </c>
      <c r="F89" s="28">
        <v>0</v>
      </c>
      <c r="G89" s="28"/>
      <c r="H89" s="28"/>
      <c r="I89" s="349">
        <f t="shared" si="29"/>
        <v>0</v>
      </c>
      <c r="K89" s="28">
        <v>0</v>
      </c>
      <c r="L89" s="28"/>
      <c r="M89" s="28"/>
      <c r="N89" s="349">
        <f>SUM(K89:M89)</f>
        <v>0</v>
      </c>
      <c r="O89" s="373">
        <f t="shared" si="30"/>
        <v>0</v>
      </c>
      <c r="Q89" s="28">
        <v>0</v>
      </c>
      <c r="R89" s="28"/>
      <c r="S89" s="28"/>
      <c r="T89" s="349">
        <f>SUM(Q89:S89)</f>
        <v>0</v>
      </c>
      <c r="V89" s="28">
        <v>0</v>
      </c>
      <c r="W89" s="28"/>
      <c r="X89" s="28"/>
      <c r="Y89" s="349">
        <f>SUM(V89:X89)</f>
        <v>0</v>
      </c>
      <c r="Z89" s="373">
        <f>T89+Y89</f>
        <v>0</v>
      </c>
      <c r="AB89" s="28">
        <v>0</v>
      </c>
      <c r="AC89" s="28"/>
      <c r="AD89" s="28"/>
      <c r="AE89" s="349">
        <f>SUM(AB89:AD89)</f>
        <v>0</v>
      </c>
      <c r="AG89" s="28">
        <v>0</v>
      </c>
      <c r="AH89" s="28"/>
      <c r="AI89" s="28"/>
      <c r="AJ89" s="349">
        <f>SUM(AG89:AI89)</f>
        <v>0</v>
      </c>
      <c r="AK89" s="373">
        <f>AE89+AJ89</f>
        <v>0</v>
      </c>
    </row>
    <row r="90" spans="1:37" ht="13.5" customHeight="1">
      <c r="A90" s="94" t="s">
        <v>410</v>
      </c>
      <c r="B90" s="96" t="s">
        <v>845</v>
      </c>
      <c r="C90" s="96" t="s">
        <v>846</v>
      </c>
      <c r="D90" s="56">
        <f>SUM(D88:D89)</f>
        <v>0</v>
      </c>
      <c r="F90" s="56">
        <f>SUM(F88:F89)</f>
        <v>0</v>
      </c>
      <c r="G90" s="56">
        <f>SUM(G88:G89)</f>
        <v>0</v>
      </c>
      <c r="H90" s="56">
        <f>SUM(H88:H89)</f>
        <v>0</v>
      </c>
      <c r="I90" s="662">
        <f>SUM(I88:I89)</f>
        <v>0</v>
      </c>
      <c r="K90" s="56">
        <f>SUM(K88:K89)</f>
        <v>0</v>
      </c>
      <c r="L90" s="56">
        <f>SUM(L88:L89)</f>
        <v>0</v>
      </c>
      <c r="M90" s="56">
        <f>SUM(M88:M89)</f>
        <v>0</v>
      </c>
      <c r="N90" s="662">
        <f>SUM(N88:N89)</f>
        <v>0</v>
      </c>
      <c r="O90" s="663">
        <f>SUM(O88:O89)</f>
        <v>0</v>
      </c>
      <c r="Q90" s="56">
        <f>SUM(Q88:Q89)</f>
        <v>0</v>
      </c>
      <c r="R90" s="56">
        <f>SUM(R88:R89)</f>
        <v>0</v>
      </c>
      <c r="S90" s="56">
        <f>SUM(S88:S89)</f>
        <v>0</v>
      </c>
      <c r="T90" s="662">
        <f>SUM(T88:T89)</f>
        <v>0</v>
      </c>
      <c r="V90" s="56">
        <f>SUM(V88:V89)</f>
        <v>0</v>
      </c>
      <c r="W90" s="56">
        <f>SUM(W88:W89)</f>
        <v>0</v>
      </c>
      <c r="X90" s="56">
        <f>SUM(X88:X89)</f>
        <v>0</v>
      </c>
      <c r="Y90" s="662">
        <f>SUM(Y88:Y89)</f>
        <v>0</v>
      </c>
      <c r="Z90" s="663">
        <f>SUM(Z88:Z89)</f>
        <v>0</v>
      </c>
      <c r="AB90" s="56">
        <f>SUM(AB88:AB89)</f>
        <v>0</v>
      </c>
      <c r="AC90" s="56">
        <f>SUM(AC88:AC89)</f>
        <v>0</v>
      </c>
      <c r="AD90" s="56">
        <f>SUM(AD88:AD89)</f>
        <v>0</v>
      </c>
      <c r="AE90" s="662">
        <f>SUM(AE88:AE89)</f>
        <v>0</v>
      </c>
      <c r="AG90" s="56">
        <f>SUM(AG88:AG89)</f>
        <v>0</v>
      </c>
      <c r="AH90" s="56">
        <f>SUM(AH88:AH89)</f>
        <v>0</v>
      </c>
      <c r="AI90" s="56">
        <f>SUM(AI88:AI89)</f>
        <v>0</v>
      </c>
      <c r="AJ90" s="662">
        <f>SUM(AJ88:AJ89)</f>
        <v>0</v>
      </c>
      <c r="AK90" s="663">
        <f>SUM(AK88:AK89)</f>
        <v>0</v>
      </c>
    </row>
    <row r="91" spans="1:37" ht="13.5" customHeight="1" hidden="1">
      <c r="A91" s="376" t="s">
        <v>413</v>
      </c>
      <c r="B91" s="382" t="s">
        <v>847</v>
      </c>
      <c r="C91" s="378" t="s">
        <v>848</v>
      </c>
      <c r="D91" s="380">
        <f aca="true" t="shared" si="31" ref="D91:D97">O91+Z91+AK91</f>
        <v>0</v>
      </c>
      <c r="F91" s="380">
        <v>0</v>
      </c>
      <c r="G91" s="380"/>
      <c r="H91" s="380"/>
      <c r="I91" s="380">
        <f t="shared" si="29"/>
        <v>0</v>
      </c>
      <c r="K91" s="380">
        <v>0</v>
      </c>
      <c r="L91" s="380"/>
      <c r="M91" s="380"/>
      <c r="N91" s="380">
        <f aca="true" t="shared" si="32" ref="N91:N97">SUM(K91:M91)</f>
        <v>0</v>
      </c>
      <c r="O91" s="384">
        <f t="shared" si="30"/>
        <v>0</v>
      </c>
      <c r="Q91" s="380">
        <v>0</v>
      </c>
      <c r="R91" s="380"/>
      <c r="S91" s="380"/>
      <c r="T91" s="380">
        <f aca="true" t="shared" si="33" ref="T91:T97">SUM(Q91:S91)</f>
        <v>0</v>
      </c>
      <c r="V91" s="380">
        <v>0</v>
      </c>
      <c r="W91" s="380"/>
      <c r="X91" s="380"/>
      <c r="Y91" s="380">
        <f aca="true" t="shared" si="34" ref="Y91:Y97">SUM(V91:X91)</f>
        <v>0</v>
      </c>
      <c r="Z91" s="373">
        <f aca="true" t="shared" si="35" ref="Z91:Z97">T91+Y91</f>
        <v>0</v>
      </c>
      <c r="AB91" s="380">
        <v>0</v>
      </c>
      <c r="AC91" s="380"/>
      <c r="AD91" s="380"/>
      <c r="AE91" s="380">
        <f aca="true" t="shared" si="36" ref="AE91:AE97">SUM(AB91:AD91)</f>
        <v>0</v>
      </c>
      <c r="AG91" s="380">
        <v>0</v>
      </c>
      <c r="AH91" s="380"/>
      <c r="AI91" s="380"/>
      <c r="AJ91" s="380">
        <f aca="true" t="shared" si="37" ref="AJ91:AJ97">SUM(AG91:AI91)</f>
        <v>0</v>
      </c>
      <c r="AK91" s="384">
        <f aca="true" t="shared" si="38" ref="AK91:AK97">AE91+AJ91</f>
        <v>0</v>
      </c>
    </row>
    <row r="92" spans="1:37" ht="13.5" customHeight="1" hidden="1">
      <c r="A92" s="376" t="s">
        <v>416</v>
      </c>
      <c r="B92" s="382" t="s">
        <v>849</v>
      </c>
      <c r="C92" s="378" t="s">
        <v>850</v>
      </c>
      <c r="D92" s="380">
        <f t="shared" si="31"/>
        <v>0</v>
      </c>
      <c r="F92" s="380">
        <v>0</v>
      </c>
      <c r="G92" s="380"/>
      <c r="H92" s="380"/>
      <c r="I92" s="380">
        <f t="shared" si="29"/>
        <v>0</v>
      </c>
      <c r="K92" s="380">
        <v>0</v>
      </c>
      <c r="L92" s="380"/>
      <c r="M92" s="380"/>
      <c r="N92" s="380">
        <f t="shared" si="32"/>
        <v>0</v>
      </c>
      <c r="O92" s="384">
        <f t="shared" si="30"/>
        <v>0</v>
      </c>
      <c r="Q92" s="380">
        <v>0</v>
      </c>
      <c r="R92" s="380"/>
      <c r="S92" s="380"/>
      <c r="T92" s="380">
        <f t="shared" si="33"/>
        <v>0</v>
      </c>
      <c r="V92" s="380">
        <v>0</v>
      </c>
      <c r="W92" s="380"/>
      <c r="X92" s="380"/>
      <c r="Y92" s="380">
        <f t="shared" si="34"/>
        <v>0</v>
      </c>
      <c r="Z92" s="373">
        <f t="shared" si="35"/>
        <v>0</v>
      </c>
      <c r="AB92" s="380">
        <v>0</v>
      </c>
      <c r="AC92" s="380"/>
      <c r="AD92" s="380"/>
      <c r="AE92" s="380">
        <f t="shared" si="36"/>
        <v>0</v>
      </c>
      <c r="AG92" s="380">
        <v>0</v>
      </c>
      <c r="AH92" s="380"/>
      <c r="AI92" s="380"/>
      <c r="AJ92" s="380">
        <f t="shared" si="37"/>
        <v>0</v>
      </c>
      <c r="AK92" s="384">
        <f t="shared" si="38"/>
        <v>0</v>
      </c>
    </row>
    <row r="93" spans="1:37" ht="13.5" customHeight="1" hidden="1">
      <c r="A93" s="376" t="s">
        <v>419</v>
      </c>
      <c r="B93" s="382" t="s">
        <v>851</v>
      </c>
      <c r="C93" s="378" t="s">
        <v>852</v>
      </c>
      <c r="D93" s="383">
        <f t="shared" si="31"/>
        <v>0</v>
      </c>
      <c r="F93" s="383">
        <v>0</v>
      </c>
      <c r="G93" s="383"/>
      <c r="H93" s="383"/>
      <c r="I93" s="380">
        <f t="shared" si="29"/>
        <v>0</v>
      </c>
      <c r="K93" s="383">
        <v>0</v>
      </c>
      <c r="L93" s="383"/>
      <c r="M93" s="383"/>
      <c r="N93" s="380">
        <f t="shared" si="32"/>
        <v>0</v>
      </c>
      <c r="O93" s="384">
        <f t="shared" si="30"/>
        <v>0</v>
      </c>
      <c r="Q93" s="383">
        <v>0</v>
      </c>
      <c r="R93" s="28"/>
      <c r="S93" s="28"/>
      <c r="T93" s="349">
        <f t="shared" si="33"/>
        <v>0</v>
      </c>
      <c r="U93" s="99"/>
      <c r="V93" s="383">
        <v>0</v>
      </c>
      <c r="W93" s="28"/>
      <c r="X93" s="28"/>
      <c r="Y93" s="349">
        <f t="shared" si="34"/>
        <v>0</v>
      </c>
      <c r="Z93" s="373">
        <f t="shared" si="35"/>
        <v>0</v>
      </c>
      <c r="AB93" s="383">
        <v>0</v>
      </c>
      <c r="AC93" s="383"/>
      <c r="AD93" s="383"/>
      <c r="AE93" s="380">
        <f t="shared" si="36"/>
        <v>0</v>
      </c>
      <c r="AG93" s="383">
        <v>0</v>
      </c>
      <c r="AH93" s="383">
        <f>AH21</f>
        <v>0</v>
      </c>
      <c r="AI93" s="383"/>
      <c r="AJ93" s="380">
        <f t="shared" si="37"/>
        <v>0</v>
      </c>
      <c r="AK93" s="384">
        <f t="shared" si="38"/>
        <v>0</v>
      </c>
    </row>
    <row r="94" spans="1:37" ht="13.5" customHeight="1" hidden="1">
      <c r="A94" s="376" t="s">
        <v>422</v>
      </c>
      <c r="B94" s="382" t="s">
        <v>853</v>
      </c>
      <c r="C94" s="378" t="s">
        <v>854</v>
      </c>
      <c r="D94" s="383">
        <f t="shared" si="31"/>
        <v>0</v>
      </c>
      <c r="F94" s="383">
        <v>0</v>
      </c>
      <c r="G94" s="383"/>
      <c r="H94" s="383"/>
      <c r="I94" s="380">
        <f t="shared" si="29"/>
        <v>0</v>
      </c>
      <c r="K94" s="383">
        <v>0</v>
      </c>
      <c r="L94" s="383"/>
      <c r="M94" s="383"/>
      <c r="N94" s="380">
        <f t="shared" si="32"/>
        <v>0</v>
      </c>
      <c r="O94" s="384">
        <f t="shared" si="30"/>
        <v>0</v>
      </c>
      <c r="Q94" s="383">
        <v>0</v>
      </c>
      <c r="R94" s="383"/>
      <c r="S94" s="383"/>
      <c r="T94" s="380">
        <f t="shared" si="33"/>
        <v>0</v>
      </c>
      <c r="V94" s="383">
        <v>0</v>
      </c>
      <c r="W94" s="383"/>
      <c r="X94" s="383"/>
      <c r="Y94" s="380">
        <f t="shared" si="34"/>
        <v>0</v>
      </c>
      <c r="Z94" s="373">
        <f t="shared" si="35"/>
        <v>0</v>
      </c>
      <c r="AB94" s="383">
        <v>0</v>
      </c>
      <c r="AC94" s="383"/>
      <c r="AD94" s="383"/>
      <c r="AE94" s="380">
        <f t="shared" si="36"/>
        <v>0</v>
      </c>
      <c r="AG94" s="383">
        <v>0</v>
      </c>
      <c r="AH94" s="383"/>
      <c r="AI94" s="383"/>
      <c r="AJ94" s="380">
        <f t="shared" si="37"/>
        <v>0</v>
      </c>
      <c r="AK94" s="384">
        <f t="shared" si="38"/>
        <v>0</v>
      </c>
    </row>
    <row r="95" spans="1:37" ht="13.5" customHeight="1" hidden="1">
      <c r="A95" s="376" t="s">
        <v>425</v>
      </c>
      <c r="B95" s="377" t="s">
        <v>855</v>
      </c>
      <c r="C95" s="378" t="s">
        <v>856</v>
      </c>
      <c r="D95" s="380">
        <f t="shared" si="31"/>
        <v>0</v>
      </c>
      <c r="F95" s="380">
        <v>0</v>
      </c>
      <c r="G95" s="380"/>
      <c r="H95" s="380"/>
      <c r="I95" s="380">
        <f t="shared" si="29"/>
        <v>0</v>
      </c>
      <c r="K95" s="380">
        <v>0</v>
      </c>
      <c r="L95" s="380"/>
      <c r="M95" s="380"/>
      <c r="N95" s="380">
        <f t="shared" si="32"/>
        <v>0</v>
      </c>
      <c r="O95" s="384">
        <f t="shared" si="30"/>
        <v>0</v>
      </c>
      <c r="Q95" s="380">
        <v>0</v>
      </c>
      <c r="R95" s="380"/>
      <c r="S95" s="380"/>
      <c r="T95" s="380">
        <f t="shared" si="33"/>
        <v>0</v>
      </c>
      <c r="V95" s="380">
        <v>0</v>
      </c>
      <c r="W95" s="380"/>
      <c r="X95" s="380"/>
      <c r="Y95" s="380">
        <f t="shared" si="34"/>
        <v>0</v>
      </c>
      <c r="Z95" s="373">
        <f t="shared" si="35"/>
        <v>0</v>
      </c>
      <c r="AB95" s="380">
        <v>0</v>
      </c>
      <c r="AC95" s="380"/>
      <c r="AD95" s="380"/>
      <c r="AE95" s="380">
        <f t="shared" si="36"/>
        <v>0</v>
      </c>
      <c r="AG95" s="380">
        <v>0</v>
      </c>
      <c r="AH95" s="380"/>
      <c r="AI95" s="380"/>
      <c r="AJ95" s="380">
        <f t="shared" si="37"/>
        <v>0</v>
      </c>
      <c r="AK95" s="384">
        <f t="shared" si="38"/>
        <v>0</v>
      </c>
    </row>
    <row r="96" spans="1:37" ht="13.5" customHeight="1" hidden="1">
      <c r="A96" s="91">
        <v>18</v>
      </c>
      <c r="B96" s="42" t="s">
        <v>857</v>
      </c>
      <c r="C96" s="32" t="s">
        <v>858</v>
      </c>
      <c r="D96" s="349">
        <f t="shared" si="31"/>
        <v>0</v>
      </c>
      <c r="F96" s="349">
        <v>0</v>
      </c>
      <c r="G96" s="349"/>
      <c r="H96" s="349"/>
      <c r="I96" s="349">
        <f t="shared" si="29"/>
        <v>0</v>
      </c>
      <c r="K96" s="349">
        <v>0</v>
      </c>
      <c r="L96" s="349"/>
      <c r="M96" s="349"/>
      <c r="N96" s="349">
        <f t="shared" si="32"/>
        <v>0</v>
      </c>
      <c r="O96" s="373">
        <f t="shared" si="30"/>
        <v>0</v>
      </c>
      <c r="Q96" s="349">
        <v>0</v>
      </c>
      <c r="R96" s="349"/>
      <c r="S96" s="349"/>
      <c r="T96" s="349">
        <f t="shared" si="33"/>
        <v>0</v>
      </c>
      <c r="V96" s="349">
        <v>0</v>
      </c>
      <c r="W96" s="349"/>
      <c r="X96" s="349"/>
      <c r="Y96" s="349">
        <f t="shared" si="34"/>
        <v>0</v>
      </c>
      <c r="Z96" s="373">
        <f t="shared" si="35"/>
        <v>0</v>
      </c>
      <c r="AB96" s="349">
        <v>0</v>
      </c>
      <c r="AC96" s="349"/>
      <c r="AD96" s="349"/>
      <c r="AE96" s="349">
        <f t="shared" si="36"/>
        <v>0</v>
      </c>
      <c r="AG96" s="349">
        <v>0</v>
      </c>
      <c r="AH96" s="349"/>
      <c r="AI96" s="349"/>
      <c r="AJ96" s="349">
        <f t="shared" si="37"/>
        <v>0</v>
      </c>
      <c r="AK96" s="373">
        <f t="shared" si="38"/>
        <v>0</v>
      </c>
    </row>
    <row r="97" spans="1:37" ht="13.5" customHeight="1" hidden="1">
      <c r="A97" s="91">
        <v>19</v>
      </c>
      <c r="B97" s="42" t="s">
        <v>859</v>
      </c>
      <c r="C97" s="32" t="s">
        <v>860</v>
      </c>
      <c r="D97" s="349">
        <f t="shared" si="31"/>
        <v>0</v>
      </c>
      <c r="F97" s="349">
        <v>0</v>
      </c>
      <c r="G97" s="349"/>
      <c r="H97" s="349"/>
      <c r="I97" s="349">
        <f t="shared" si="29"/>
        <v>0</v>
      </c>
      <c r="K97" s="349">
        <v>0</v>
      </c>
      <c r="L97" s="349"/>
      <c r="M97" s="349"/>
      <c r="N97" s="349">
        <f t="shared" si="32"/>
        <v>0</v>
      </c>
      <c r="O97" s="373">
        <f t="shared" si="30"/>
        <v>0</v>
      </c>
      <c r="Q97" s="349">
        <v>0</v>
      </c>
      <c r="R97" s="349"/>
      <c r="S97" s="349"/>
      <c r="T97" s="349">
        <f t="shared" si="33"/>
        <v>0</v>
      </c>
      <c r="V97" s="349">
        <v>0</v>
      </c>
      <c r="W97" s="349"/>
      <c r="X97" s="349"/>
      <c r="Y97" s="349">
        <f t="shared" si="34"/>
        <v>0</v>
      </c>
      <c r="Z97" s="373">
        <f t="shared" si="35"/>
        <v>0</v>
      </c>
      <c r="AB97" s="349">
        <v>0</v>
      </c>
      <c r="AC97" s="349"/>
      <c r="AD97" s="349"/>
      <c r="AE97" s="349">
        <f t="shared" si="36"/>
        <v>0</v>
      </c>
      <c r="AG97" s="349">
        <v>0</v>
      </c>
      <c r="AH97" s="349"/>
      <c r="AI97" s="349"/>
      <c r="AJ97" s="349">
        <f t="shared" si="37"/>
        <v>0</v>
      </c>
      <c r="AK97" s="373">
        <f t="shared" si="38"/>
        <v>0</v>
      </c>
    </row>
    <row r="98" spans="1:37" ht="13.5" customHeight="1">
      <c r="A98" s="94">
        <v>20</v>
      </c>
      <c r="B98" s="95" t="s">
        <v>861</v>
      </c>
      <c r="C98" s="96" t="s">
        <v>862</v>
      </c>
      <c r="D98" s="56">
        <f>SUM(D96:D97)</f>
        <v>0</v>
      </c>
      <c r="F98" s="56">
        <f>SUM(F96:F97)</f>
        <v>0</v>
      </c>
      <c r="G98" s="56">
        <f>SUM(G96:G97)</f>
        <v>0</v>
      </c>
      <c r="H98" s="56">
        <f>SUM(H96:H97)</f>
        <v>0</v>
      </c>
      <c r="I98" s="662">
        <f>SUM(I96:I97)</f>
        <v>0</v>
      </c>
      <c r="K98" s="56">
        <f>SUM(K96:K97)</f>
        <v>0</v>
      </c>
      <c r="L98" s="56">
        <f>SUM(L96:L97)</f>
        <v>0</v>
      </c>
      <c r="M98" s="56">
        <f>SUM(M96:M97)</f>
        <v>0</v>
      </c>
      <c r="N98" s="662">
        <f>SUM(N96:N97)</f>
        <v>0</v>
      </c>
      <c r="O98" s="663">
        <f>SUM(O96:O97)</f>
        <v>0</v>
      </c>
      <c r="Q98" s="56">
        <f>SUM(Q96:Q97)</f>
        <v>0</v>
      </c>
      <c r="R98" s="56">
        <f>SUM(R96:R97)</f>
        <v>0</v>
      </c>
      <c r="S98" s="56">
        <f>SUM(S96:S97)</f>
        <v>0</v>
      </c>
      <c r="T98" s="662">
        <f>SUM(T96:T97)</f>
        <v>0</v>
      </c>
      <c r="V98" s="56">
        <f>SUM(V96:V97)</f>
        <v>0</v>
      </c>
      <c r="W98" s="56">
        <f>SUM(W96:W97)</f>
        <v>0</v>
      </c>
      <c r="X98" s="56">
        <f>SUM(X96:X97)</f>
        <v>0</v>
      </c>
      <c r="Y98" s="662">
        <f>SUM(Y96:Y97)</f>
        <v>0</v>
      </c>
      <c r="Z98" s="663">
        <f>SUM(Z96:Z97)</f>
        <v>0</v>
      </c>
      <c r="AB98" s="56">
        <f>SUM(AB96:AB97)</f>
        <v>0</v>
      </c>
      <c r="AC98" s="56">
        <f>SUM(AC96:AC97)</f>
        <v>0</v>
      </c>
      <c r="AD98" s="56">
        <f>SUM(AD96:AD97)</f>
        <v>0</v>
      </c>
      <c r="AE98" s="662">
        <f>SUM(AE96:AE97)</f>
        <v>0</v>
      </c>
      <c r="AG98" s="56">
        <f>SUM(AG96:AG97)</f>
        <v>0</v>
      </c>
      <c r="AH98" s="56">
        <f>SUM(AH96:AH97)</f>
        <v>0</v>
      </c>
      <c r="AI98" s="56">
        <f>SUM(AI96:AI97)</f>
        <v>0</v>
      </c>
      <c r="AJ98" s="662">
        <f>SUM(AJ96:AJ97)</f>
        <v>0</v>
      </c>
      <c r="AK98" s="663">
        <f>SUM(AK96:AK97)</f>
        <v>0</v>
      </c>
    </row>
    <row r="99" spans="1:37" ht="13.5" customHeight="1">
      <c r="A99" s="55">
        <v>21</v>
      </c>
      <c r="B99" s="45" t="s">
        <v>863</v>
      </c>
      <c r="C99" s="39" t="s">
        <v>864</v>
      </c>
      <c r="D99" s="101">
        <f>D98+D95+D94+D93+D92+D91+D90+D87+D82</f>
        <v>0</v>
      </c>
      <c r="F99" s="101">
        <f>F98+F95+F94+F93+F92+F91+F90+F87+F82</f>
        <v>0</v>
      </c>
      <c r="G99" s="101">
        <f>G98+G95+G94+G93+G92+G91+G90+G87+G82</f>
        <v>0</v>
      </c>
      <c r="H99" s="101">
        <f>H98+H95+H94+H93+H92+H91+H90+H87+H82</f>
        <v>0</v>
      </c>
      <c r="I99" s="101">
        <f>I98+I95+I94+I93+I92+I91+I90+I87+I82</f>
        <v>0</v>
      </c>
      <c r="K99" s="101">
        <f>K98+K95+K94+K93+K92+K91+K90+K87+K82</f>
        <v>0</v>
      </c>
      <c r="L99" s="101">
        <f>L98+L95+L94+L93+L92+L91+L90+L87+L82</f>
        <v>0</v>
      </c>
      <c r="M99" s="101">
        <f>M98+M95+M94+M93+M92+M91+M90+M87+M82</f>
        <v>0</v>
      </c>
      <c r="N99" s="101">
        <f>N98+N95+N94+N93+N92+N91+N90+N87+N82</f>
        <v>0</v>
      </c>
      <c r="O99" s="101">
        <f>O98+O95+O94+O93+O92+O91+O90+O87+O82</f>
        <v>0</v>
      </c>
      <c r="Q99" s="101">
        <f>Q98+Q95+Q94+Q93+Q92+Q91+Q90+Q87+Q82</f>
        <v>0</v>
      </c>
      <c r="R99" s="101">
        <f>R98+R95+R94+R93+R92+R91+R90+R87+R82</f>
        <v>0</v>
      </c>
      <c r="S99" s="101">
        <f>S98+S95+S94+S93+S92+S91+S90+S87+S82</f>
        <v>0</v>
      </c>
      <c r="T99" s="101">
        <f>T98+T95+T94+T93+T92+T91+T90+T87+T82</f>
        <v>0</v>
      </c>
      <c r="V99" s="101">
        <f>V98+V95+V94+V93+V92+V91+V90+V87+V82</f>
        <v>0</v>
      </c>
      <c r="W99" s="101">
        <f>W98+W95+W94+W93+W92+W91+W90+W87+W82</f>
        <v>0</v>
      </c>
      <c r="X99" s="101">
        <f>X98+X95+X94+X93+X92+X91+X90+X87+X82</f>
        <v>0</v>
      </c>
      <c r="Y99" s="101">
        <f>Y98+Y95+Y94+Y93+Y92+Y91+Y90+Y87+Y82</f>
        <v>0</v>
      </c>
      <c r="Z99" s="101">
        <f>Z98+Z95+Z94+Z93+Z92+Z91+Z90+Z87+Z82</f>
        <v>0</v>
      </c>
      <c r="AB99" s="101">
        <f>AB98+AB95+AB94+AB93+AB92+AB91+AB90+AB87+AB82</f>
        <v>0</v>
      </c>
      <c r="AC99" s="101">
        <f>AC98+AC95+AC94+AC93+AC92+AC91+AC90+AC87+AC82</f>
        <v>0</v>
      </c>
      <c r="AD99" s="101">
        <f>AD98+AD95+AD94+AD93+AD92+AD91+AD90+AD87+AD82</f>
        <v>0</v>
      </c>
      <c r="AE99" s="101">
        <f>AE98+AE95+AE94+AE93+AE92+AE91+AE90+AE87+AE82</f>
        <v>0</v>
      </c>
      <c r="AG99" s="101">
        <f>AG98+AG95+AG94+AG93+AG92+AG91+AG90+AG87+AG82</f>
        <v>0</v>
      </c>
      <c r="AH99" s="101">
        <f>AH98+AH95+AH94+AH93+AH92+AH91+AH90+AH87+AH82</f>
        <v>0</v>
      </c>
      <c r="AI99" s="101">
        <f>AI98+AI95+AI94+AI93+AI92+AI91+AI90+AI87+AI82</f>
        <v>0</v>
      </c>
      <c r="AJ99" s="101">
        <f>AJ98+AJ95+AJ94+AJ93+AJ92+AJ91+AJ90+AJ87+AJ82</f>
        <v>0</v>
      </c>
      <c r="AK99" s="101">
        <f>AK98+AK95+AK94+AK93+AK92+AK91+AK90+AK87+AK82</f>
        <v>0</v>
      </c>
    </row>
    <row r="100" spans="1:37" ht="13.5" customHeight="1" hidden="1">
      <c r="A100" s="91">
        <v>22</v>
      </c>
      <c r="B100" s="42" t="s">
        <v>865</v>
      </c>
      <c r="C100" s="32" t="s">
        <v>866</v>
      </c>
      <c r="D100" s="349">
        <f>O100+Z100+AK100</f>
        <v>0</v>
      </c>
      <c r="F100" s="349">
        <v>0</v>
      </c>
      <c r="G100" s="349"/>
      <c r="H100" s="349"/>
      <c r="I100" s="349">
        <f t="shared" si="29"/>
        <v>0</v>
      </c>
      <c r="K100" s="349">
        <v>0</v>
      </c>
      <c r="L100" s="349"/>
      <c r="M100" s="349"/>
      <c r="N100" s="349">
        <f>SUM(K100:M100)</f>
        <v>0</v>
      </c>
      <c r="O100" s="373">
        <f t="shared" si="30"/>
        <v>0</v>
      </c>
      <c r="Q100" s="349">
        <v>0</v>
      </c>
      <c r="R100" s="349"/>
      <c r="S100" s="349"/>
      <c r="T100" s="349">
        <f>SUM(Q100:S100)</f>
        <v>0</v>
      </c>
      <c r="V100" s="349">
        <v>0</v>
      </c>
      <c r="W100" s="349"/>
      <c r="X100" s="349"/>
      <c r="Y100" s="349">
        <f>SUM(V100:X100)</f>
        <v>0</v>
      </c>
      <c r="Z100" s="373">
        <f>T100+Y100</f>
        <v>0</v>
      </c>
      <c r="AB100" s="349">
        <v>0</v>
      </c>
      <c r="AC100" s="349"/>
      <c r="AD100" s="349"/>
      <c r="AE100" s="349">
        <f>SUM(AB100:AD100)</f>
        <v>0</v>
      </c>
      <c r="AG100" s="349">
        <v>0</v>
      </c>
      <c r="AH100" s="349"/>
      <c r="AI100" s="349"/>
      <c r="AJ100" s="349">
        <f>SUM(AG100:AI100)</f>
        <v>0</v>
      </c>
      <c r="AK100" s="373">
        <f>AE100+AJ100</f>
        <v>0</v>
      </c>
    </row>
    <row r="101" spans="1:37" ht="13.5" customHeight="1" hidden="1">
      <c r="A101" s="91">
        <v>23</v>
      </c>
      <c r="B101" s="42" t="s">
        <v>867</v>
      </c>
      <c r="C101" s="32" t="s">
        <v>868</v>
      </c>
      <c r="D101" s="349">
        <f>O101+Z101+AK101</f>
        <v>0</v>
      </c>
      <c r="F101" s="349">
        <v>0</v>
      </c>
      <c r="G101" s="349"/>
      <c r="H101" s="349"/>
      <c r="I101" s="349">
        <f t="shared" si="29"/>
        <v>0</v>
      </c>
      <c r="K101" s="349">
        <v>0</v>
      </c>
      <c r="L101" s="349"/>
      <c r="M101" s="349"/>
      <c r="N101" s="349">
        <f>SUM(K101:M101)</f>
        <v>0</v>
      </c>
      <c r="O101" s="373">
        <f t="shared" si="30"/>
        <v>0</v>
      </c>
      <c r="Q101" s="349">
        <v>0</v>
      </c>
      <c r="R101" s="349"/>
      <c r="S101" s="349"/>
      <c r="T101" s="349">
        <f>SUM(Q101:S101)</f>
        <v>0</v>
      </c>
      <c r="V101" s="349">
        <v>0</v>
      </c>
      <c r="W101" s="349"/>
      <c r="X101" s="349"/>
      <c r="Y101" s="349">
        <f>SUM(V101:X101)</f>
        <v>0</v>
      </c>
      <c r="Z101" s="373">
        <f>T101+Y101</f>
        <v>0</v>
      </c>
      <c r="AB101" s="349">
        <v>0</v>
      </c>
      <c r="AC101" s="349"/>
      <c r="AD101" s="349"/>
      <c r="AE101" s="349">
        <f>SUM(AB101:AD101)</f>
        <v>0</v>
      </c>
      <c r="AG101" s="349">
        <v>0</v>
      </c>
      <c r="AH101" s="349"/>
      <c r="AI101" s="349"/>
      <c r="AJ101" s="349">
        <f>SUM(AG101:AI101)</f>
        <v>0</v>
      </c>
      <c r="AK101" s="373">
        <f>AE101+AJ101</f>
        <v>0</v>
      </c>
    </row>
    <row r="102" spans="1:37" ht="13.5" customHeight="1" hidden="1">
      <c r="A102" s="91">
        <v>24</v>
      </c>
      <c r="B102" s="92" t="s">
        <v>869</v>
      </c>
      <c r="C102" s="32" t="s">
        <v>870</v>
      </c>
      <c r="D102" s="349">
        <f>O102+Z102+AK102</f>
        <v>0</v>
      </c>
      <c r="F102" s="349">
        <v>0</v>
      </c>
      <c r="G102" s="349"/>
      <c r="H102" s="349"/>
      <c r="I102" s="349">
        <f t="shared" si="29"/>
        <v>0</v>
      </c>
      <c r="K102" s="349">
        <v>0</v>
      </c>
      <c r="L102" s="349"/>
      <c r="M102" s="349"/>
      <c r="N102" s="349">
        <f>SUM(K102:M102)</f>
        <v>0</v>
      </c>
      <c r="O102" s="373">
        <f t="shared" si="30"/>
        <v>0</v>
      </c>
      <c r="Q102" s="349">
        <v>0</v>
      </c>
      <c r="R102" s="349"/>
      <c r="S102" s="349"/>
      <c r="T102" s="349">
        <f>SUM(Q102:S102)</f>
        <v>0</v>
      </c>
      <c r="V102" s="349">
        <v>0</v>
      </c>
      <c r="W102" s="349"/>
      <c r="X102" s="349"/>
      <c r="Y102" s="349">
        <f>SUM(V102:X102)</f>
        <v>0</v>
      </c>
      <c r="Z102" s="373">
        <f>T102+Y102</f>
        <v>0</v>
      </c>
      <c r="AB102" s="349">
        <v>0</v>
      </c>
      <c r="AC102" s="349"/>
      <c r="AD102" s="349"/>
      <c r="AE102" s="349">
        <f>SUM(AB102:AD102)</f>
        <v>0</v>
      </c>
      <c r="AG102" s="349">
        <v>0</v>
      </c>
      <c r="AH102" s="349"/>
      <c r="AI102" s="349"/>
      <c r="AJ102" s="349">
        <f>SUM(AG102:AI102)</f>
        <v>0</v>
      </c>
      <c r="AK102" s="373">
        <f>AE102+AJ102</f>
        <v>0</v>
      </c>
    </row>
    <row r="103" spans="1:37" ht="13.5" customHeight="1" hidden="1">
      <c r="A103" s="91">
        <v>25</v>
      </c>
      <c r="B103" s="92" t="s">
        <v>871</v>
      </c>
      <c r="C103" s="32" t="s">
        <v>872</v>
      </c>
      <c r="D103" s="349">
        <f>O103+Z103+AK103</f>
        <v>0</v>
      </c>
      <c r="F103" s="349">
        <v>0</v>
      </c>
      <c r="G103" s="349"/>
      <c r="H103" s="349"/>
      <c r="I103" s="349">
        <f t="shared" si="29"/>
        <v>0</v>
      </c>
      <c r="K103" s="349">
        <v>0</v>
      </c>
      <c r="L103" s="349"/>
      <c r="M103" s="349"/>
      <c r="N103" s="349">
        <f>SUM(K103:M103)</f>
        <v>0</v>
      </c>
      <c r="O103" s="373">
        <f t="shared" si="30"/>
        <v>0</v>
      </c>
      <c r="Q103" s="349">
        <v>0</v>
      </c>
      <c r="R103" s="349"/>
      <c r="S103" s="349"/>
      <c r="T103" s="349">
        <f>SUM(Q103:S103)</f>
        <v>0</v>
      </c>
      <c r="V103" s="349">
        <v>0</v>
      </c>
      <c r="W103" s="349"/>
      <c r="X103" s="349"/>
      <c r="Y103" s="349">
        <f>SUM(V103:X103)</f>
        <v>0</v>
      </c>
      <c r="Z103" s="373">
        <f>T103+Y103</f>
        <v>0</v>
      </c>
      <c r="AB103" s="349">
        <v>0</v>
      </c>
      <c r="AC103" s="349"/>
      <c r="AD103" s="349"/>
      <c r="AE103" s="349">
        <f>SUM(AB103:AD103)</f>
        <v>0</v>
      </c>
      <c r="AG103" s="349">
        <v>0</v>
      </c>
      <c r="AH103" s="349"/>
      <c r="AI103" s="349"/>
      <c r="AJ103" s="349">
        <f>SUM(AG103:AI103)</f>
        <v>0</v>
      </c>
      <c r="AK103" s="373">
        <f>AE103+AJ103</f>
        <v>0</v>
      </c>
    </row>
    <row r="104" spans="1:37" ht="13.5" customHeight="1" hidden="1">
      <c r="A104" s="91">
        <v>26</v>
      </c>
      <c r="B104" s="92" t="s">
        <v>873</v>
      </c>
      <c r="C104" s="32" t="s">
        <v>874</v>
      </c>
      <c r="D104" s="349">
        <f>O104+Z104+AK104</f>
        <v>0</v>
      </c>
      <c r="F104" s="349">
        <v>0</v>
      </c>
      <c r="G104" s="349"/>
      <c r="H104" s="349"/>
      <c r="I104" s="349">
        <f t="shared" si="29"/>
        <v>0</v>
      </c>
      <c r="K104" s="349">
        <v>0</v>
      </c>
      <c r="L104" s="349"/>
      <c r="M104" s="349"/>
      <c r="N104" s="349">
        <f>SUM(K104:M104)</f>
        <v>0</v>
      </c>
      <c r="O104" s="373">
        <f t="shared" si="30"/>
        <v>0</v>
      </c>
      <c r="Q104" s="349">
        <v>0</v>
      </c>
      <c r="R104" s="349"/>
      <c r="S104" s="349"/>
      <c r="T104" s="349">
        <f>SUM(Q104:S104)</f>
        <v>0</v>
      </c>
      <c r="V104" s="349">
        <v>0</v>
      </c>
      <c r="W104" s="349"/>
      <c r="X104" s="349"/>
      <c r="Y104" s="349">
        <f>SUM(V104:X104)</f>
        <v>0</v>
      </c>
      <c r="Z104" s="373">
        <f>T104+Y104</f>
        <v>0</v>
      </c>
      <c r="AB104" s="349">
        <v>0</v>
      </c>
      <c r="AC104" s="349"/>
      <c r="AD104" s="349"/>
      <c r="AE104" s="349">
        <f>SUM(AB104:AD104)</f>
        <v>0</v>
      </c>
      <c r="AG104" s="349">
        <v>0</v>
      </c>
      <c r="AH104" s="349"/>
      <c r="AI104" s="349"/>
      <c r="AJ104" s="349">
        <f>SUM(AG104:AI104)</f>
        <v>0</v>
      </c>
      <c r="AK104" s="373">
        <f>AE104+AJ104</f>
        <v>0</v>
      </c>
    </row>
    <row r="105" spans="1:37" ht="13.5" customHeight="1">
      <c r="A105" s="55">
        <v>27</v>
      </c>
      <c r="B105" s="60" t="s">
        <v>875</v>
      </c>
      <c r="C105" s="39" t="s">
        <v>876</v>
      </c>
      <c r="D105" s="101">
        <f>SUM(D100:D104)</f>
        <v>0</v>
      </c>
      <c r="F105" s="101">
        <f>SUM(F100:F104)</f>
        <v>0</v>
      </c>
      <c r="G105" s="101">
        <f>SUM(G100:G104)</f>
        <v>0</v>
      </c>
      <c r="H105" s="101">
        <f>SUM(H100:H104)</f>
        <v>0</v>
      </c>
      <c r="I105" s="101">
        <f>SUM(I100:I104)</f>
        <v>0</v>
      </c>
      <c r="K105" s="101">
        <f>SUM(K100:K104)</f>
        <v>0</v>
      </c>
      <c r="L105" s="101">
        <f>SUM(L100:L104)</f>
        <v>0</v>
      </c>
      <c r="M105" s="101">
        <f>SUM(M100:M104)</f>
        <v>0</v>
      </c>
      <c r="N105" s="101">
        <f>SUM(N100:N104)</f>
        <v>0</v>
      </c>
      <c r="O105" s="101">
        <f>SUM(O100:O104)</f>
        <v>0</v>
      </c>
      <c r="Q105" s="101">
        <f>SUM(Q100:Q104)</f>
        <v>0</v>
      </c>
      <c r="R105" s="101">
        <f>SUM(R100:R104)</f>
        <v>0</v>
      </c>
      <c r="S105" s="101">
        <f>SUM(S100:S104)</f>
        <v>0</v>
      </c>
      <c r="T105" s="101">
        <f>SUM(T100:T104)</f>
        <v>0</v>
      </c>
      <c r="V105" s="101">
        <f>SUM(V100:V104)</f>
        <v>0</v>
      </c>
      <c r="W105" s="101">
        <f>SUM(W100:W104)</f>
        <v>0</v>
      </c>
      <c r="X105" s="101">
        <f>SUM(X100:X104)</f>
        <v>0</v>
      </c>
      <c r="Y105" s="101">
        <f>SUM(Y100:Y104)</f>
        <v>0</v>
      </c>
      <c r="Z105" s="101">
        <f>SUM(Z100:Z104)</f>
        <v>0</v>
      </c>
      <c r="AB105" s="101">
        <f>SUM(AB100:AB104)</f>
        <v>0</v>
      </c>
      <c r="AC105" s="101">
        <f>SUM(AC100:AC104)</f>
        <v>0</v>
      </c>
      <c r="AD105" s="101">
        <f>SUM(AD100:AD104)</f>
        <v>0</v>
      </c>
      <c r="AE105" s="101">
        <f>SUM(AE100:AE104)</f>
        <v>0</v>
      </c>
      <c r="AG105" s="101">
        <f>SUM(AG100:AG104)</f>
        <v>0</v>
      </c>
      <c r="AH105" s="101">
        <f>SUM(AH100:AH104)</f>
        <v>0</v>
      </c>
      <c r="AI105" s="101">
        <f>SUM(AI100:AI104)</f>
        <v>0</v>
      </c>
      <c r="AJ105" s="101">
        <f>SUM(AJ100:AJ104)</f>
        <v>0</v>
      </c>
      <c r="AK105" s="101">
        <f>SUM(AK100:AK104)</f>
        <v>0</v>
      </c>
    </row>
    <row r="106" spans="1:37" ht="13.5" customHeight="1" hidden="1">
      <c r="A106" s="91">
        <v>28</v>
      </c>
      <c r="B106" s="42" t="s">
        <v>877</v>
      </c>
      <c r="C106" s="32" t="s">
        <v>878</v>
      </c>
      <c r="D106" s="349">
        <f>O106+Z106+AK106</f>
        <v>0</v>
      </c>
      <c r="F106" s="349">
        <v>0</v>
      </c>
      <c r="G106" s="349"/>
      <c r="H106" s="349"/>
      <c r="I106" s="349">
        <f t="shared" si="29"/>
        <v>0</v>
      </c>
      <c r="K106" s="349">
        <v>0</v>
      </c>
      <c r="L106" s="349"/>
      <c r="M106" s="349"/>
      <c r="N106" s="349">
        <f>SUM(K106:M106)</f>
        <v>0</v>
      </c>
      <c r="O106" s="373">
        <f t="shared" si="30"/>
        <v>0</v>
      </c>
      <c r="Q106" s="349">
        <v>0</v>
      </c>
      <c r="R106" s="349"/>
      <c r="S106" s="349"/>
      <c r="T106" s="349">
        <f>SUM(Q106:S106)</f>
        <v>0</v>
      </c>
      <c r="V106" s="349">
        <v>0</v>
      </c>
      <c r="W106" s="349"/>
      <c r="X106" s="349"/>
      <c r="Y106" s="349">
        <f>SUM(V106:X106)</f>
        <v>0</v>
      </c>
      <c r="Z106" s="373">
        <f>T106+Y106</f>
        <v>0</v>
      </c>
      <c r="AB106" s="349">
        <v>0</v>
      </c>
      <c r="AC106" s="349"/>
      <c r="AD106" s="349"/>
      <c r="AE106" s="349">
        <f>SUM(AB106:AD106)</f>
        <v>0</v>
      </c>
      <c r="AG106" s="349">
        <v>0</v>
      </c>
      <c r="AH106" s="349"/>
      <c r="AI106" s="349"/>
      <c r="AJ106" s="349">
        <f>SUM(AG106:AI106)</f>
        <v>0</v>
      </c>
      <c r="AK106" s="373">
        <f>AE106+AJ106</f>
        <v>0</v>
      </c>
    </row>
    <row r="107" spans="1:37" ht="13.5" customHeight="1" hidden="1">
      <c r="A107" s="91">
        <v>29</v>
      </c>
      <c r="B107" s="42" t="s">
        <v>879</v>
      </c>
      <c r="C107" s="32" t="s">
        <v>880</v>
      </c>
      <c r="D107" s="349">
        <f>O107+Z107+AK107</f>
        <v>0</v>
      </c>
      <c r="F107" s="349">
        <v>0</v>
      </c>
      <c r="G107" s="349"/>
      <c r="H107" s="349"/>
      <c r="I107" s="349">
        <f t="shared" si="29"/>
        <v>0</v>
      </c>
      <c r="K107" s="349">
        <v>0</v>
      </c>
      <c r="L107" s="349"/>
      <c r="M107" s="349"/>
      <c r="N107" s="349">
        <f>SUM(K107:M107)</f>
        <v>0</v>
      </c>
      <c r="O107" s="373">
        <f t="shared" si="30"/>
        <v>0</v>
      </c>
      <c r="Q107" s="349">
        <v>0</v>
      </c>
      <c r="R107" s="349"/>
      <c r="S107" s="349"/>
      <c r="T107" s="349">
        <f>SUM(Q107:S107)</f>
        <v>0</v>
      </c>
      <c r="V107" s="349">
        <v>0</v>
      </c>
      <c r="W107" s="349"/>
      <c r="X107" s="349"/>
      <c r="Y107" s="349">
        <f>SUM(V107:X107)</f>
        <v>0</v>
      </c>
      <c r="Z107" s="373">
        <f>T107+Y107</f>
        <v>0</v>
      </c>
      <c r="AB107" s="349">
        <v>0</v>
      </c>
      <c r="AC107" s="349"/>
      <c r="AD107" s="349"/>
      <c r="AE107" s="349">
        <f>SUM(AB107:AD107)</f>
        <v>0</v>
      </c>
      <c r="AG107" s="349">
        <v>0</v>
      </c>
      <c r="AH107" s="349"/>
      <c r="AI107" s="349"/>
      <c r="AJ107" s="349">
        <f>SUM(AG107:AI107)</f>
        <v>0</v>
      </c>
      <c r="AK107" s="373">
        <f>AE107+AJ107</f>
        <v>0</v>
      </c>
    </row>
    <row r="108" spans="1:37" ht="13.5" customHeight="1">
      <c r="A108" s="87">
        <v>30</v>
      </c>
      <c r="B108" s="93" t="s">
        <v>881</v>
      </c>
      <c r="C108" s="78" t="s">
        <v>882</v>
      </c>
      <c r="D108" s="89">
        <f>D107+D106+D105+D99</f>
        <v>0</v>
      </c>
      <c r="F108" s="89">
        <f>F107+F106+F105+F99</f>
        <v>0</v>
      </c>
      <c r="G108" s="89">
        <f>G107+G106+G105+G99</f>
        <v>0</v>
      </c>
      <c r="H108" s="89">
        <f>H107+H106+H105+H99</f>
        <v>0</v>
      </c>
      <c r="I108" s="89">
        <f>I107+I106+I105+I99</f>
        <v>0</v>
      </c>
      <c r="K108" s="89">
        <f>K107+K106+K105+K99</f>
        <v>0</v>
      </c>
      <c r="L108" s="89">
        <f>L107+L106+L105+L99</f>
        <v>0</v>
      </c>
      <c r="M108" s="89">
        <f>M107+M106+M105+M99</f>
        <v>0</v>
      </c>
      <c r="N108" s="89">
        <f>N107+N106+N105+N99</f>
        <v>0</v>
      </c>
      <c r="O108" s="373">
        <f t="shared" si="30"/>
        <v>0</v>
      </c>
      <c r="Q108" s="89">
        <f>Q107+Q106+Q105+Q99</f>
        <v>0</v>
      </c>
      <c r="R108" s="89">
        <f>R107+R106+R105+R99</f>
        <v>0</v>
      </c>
      <c r="S108" s="89">
        <f>S107+S106+S105+S99</f>
        <v>0</v>
      </c>
      <c r="T108" s="89">
        <f>T107+T106+T105+T99</f>
        <v>0</v>
      </c>
      <c r="V108" s="89">
        <f>V107+V106+V105+V99</f>
        <v>0</v>
      </c>
      <c r="W108" s="89">
        <f>W107+W106+W105+W99</f>
        <v>0</v>
      </c>
      <c r="X108" s="89">
        <f>X107+X106+X105+X99</f>
        <v>0</v>
      </c>
      <c r="Y108" s="89">
        <f>Y107+Y106+Y105+Y99</f>
        <v>0</v>
      </c>
      <c r="Z108" s="89">
        <f>Z107+Z106+Z105+Z99</f>
        <v>0</v>
      </c>
      <c r="AB108" s="89">
        <f>AB107+AB106+AB105+AB99</f>
        <v>0</v>
      </c>
      <c r="AC108" s="89">
        <f>AC107+AC106+AC105+AC99</f>
        <v>0</v>
      </c>
      <c r="AD108" s="89">
        <f>AD107+AD106+AD105+AD99</f>
        <v>0</v>
      </c>
      <c r="AE108" s="89">
        <f>AE107+AE106+AE105+AE99</f>
        <v>0</v>
      </c>
      <c r="AG108" s="89">
        <f>AG107+AG106+AG105+AG99</f>
        <v>0</v>
      </c>
      <c r="AH108" s="89">
        <f>AH107+AH106+AH105+AH99</f>
        <v>0</v>
      </c>
      <c r="AI108" s="89">
        <f>AI107+AI106+AI105+AI99</f>
        <v>0</v>
      </c>
      <c r="AJ108" s="89">
        <f>AJ107+AJ106+AJ105+AJ99</f>
        <v>0</v>
      </c>
      <c r="AK108" s="89">
        <f>AK107+AK106+AK105+AK99</f>
        <v>0</v>
      </c>
    </row>
    <row r="109" spans="6:37" ht="8.25" customHeight="1">
      <c r="F109" s="59"/>
      <c r="G109" s="59"/>
      <c r="H109" s="59"/>
      <c r="I109" s="59"/>
      <c r="K109" s="59"/>
      <c r="L109" s="59"/>
      <c r="M109" s="59"/>
      <c r="N109" s="59"/>
      <c r="O109" s="59"/>
      <c r="Q109" s="59"/>
      <c r="R109" s="59"/>
      <c r="S109" s="59"/>
      <c r="T109" s="59"/>
      <c r="V109" s="59"/>
      <c r="W109" s="59"/>
      <c r="X109" s="59"/>
      <c r="Y109" s="59"/>
      <c r="Z109" s="59"/>
      <c r="AB109" s="59"/>
      <c r="AC109" s="59"/>
      <c r="AD109" s="59"/>
      <c r="AE109" s="59"/>
      <c r="AG109" s="59"/>
      <c r="AH109" s="59"/>
      <c r="AI109" s="59"/>
      <c r="AJ109" s="59"/>
      <c r="AK109" s="59"/>
    </row>
    <row r="110" spans="1:37" ht="12.75">
      <c r="A110" s="57">
        <v>30</v>
      </c>
      <c r="B110" s="61" t="s">
        <v>1362</v>
      </c>
      <c r="C110" s="62" t="s">
        <v>882</v>
      </c>
      <c r="D110" s="350">
        <f>D108+D77</f>
        <v>327950000</v>
      </c>
      <c r="F110" s="350">
        <f>F108+F77</f>
        <v>42135000</v>
      </c>
      <c r="G110" s="350">
        <f>G108+G77</f>
        <v>0</v>
      </c>
      <c r="H110" s="350">
        <f>H108+H77</f>
        <v>0</v>
      </c>
      <c r="I110" s="350">
        <f>I108+I77</f>
        <v>42135000</v>
      </c>
      <c r="K110" s="350">
        <f>K108+K77</f>
        <v>42965000</v>
      </c>
      <c r="L110" s="350">
        <f>L108+L77</f>
        <v>0</v>
      </c>
      <c r="M110" s="350">
        <f>M108+M77</f>
        <v>0</v>
      </c>
      <c r="N110" s="350">
        <f>N108+N77</f>
        <v>42965000</v>
      </c>
      <c r="O110" s="350">
        <f>O108+O77</f>
        <v>85100000</v>
      </c>
      <c r="Q110" s="350">
        <f>Q108+Q77</f>
        <v>29802000</v>
      </c>
      <c r="R110" s="350">
        <f>R108+R77</f>
        <v>0</v>
      </c>
      <c r="S110" s="350">
        <f>S108+S77</f>
        <v>0</v>
      </c>
      <c r="T110" s="350">
        <f>T108+T77</f>
        <v>29802000</v>
      </c>
      <c r="V110" s="350">
        <f>V108+V77</f>
        <v>9298000</v>
      </c>
      <c r="W110" s="350">
        <f>W108+W77</f>
        <v>0</v>
      </c>
      <c r="X110" s="350">
        <f>X108+X77</f>
        <v>0</v>
      </c>
      <c r="Y110" s="350">
        <f>Y108+Y77</f>
        <v>9298000</v>
      </c>
      <c r="Z110" s="350">
        <f>Z108+Z77</f>
        <v>39100000</v>
      </c>
      <c r="AB110" s="350">
        <f>AB108+AB77</f>
        <v>102320000</v>
      </c>
      <c r="AC110" s="350">
        <f>AC108+AC77</f>
        <v>-12740000</v>
      </c>
      <c r="AD110" s="350">
        <f>AD108+AD77</f>
        <v>0</v>
      </c>
      <c r="AE110" s="350">
        <f>AE108+AE77</f>
        <v>89580000</v>
      </c>
      <c r="AG110" s="350">
        <f>AG108+AG77</f>
        <v>101430000</v>
      </c>
      <c r="AH110" s="350">
        <f>AH108+AH77</f>
        <v>12740000</v>
      </c>
      <c r="AI110" s="350">
        <f>AI108+AI77</f>
        <v>0</v>
      </c>
      <c r="AJ110" s="350">
        <f>AJ108+AJ77</f>
        <v>114170000</v>
      </c>
      <c r="AK110" s="350">
        <f>AK108+AK77</f>
        <v>203750000</v>
      </c>
    </row>
    <row r="113" ht="15">
      <c r="B113" s="6" t="s">
        <v>1543</v>
      </c>
    </row>
    <row r="116" spans="2:34" ht="12.75">
      <c r="B116" s="651" t="s">
        <v>909</v>
      </c>
      <c r="F116" s="16" t="s">
        <v>1335</v>
      </c>
      <c r="H116" s="16" t="s">
        <v>1335</v>
      </c>
      <c r="K116" s="16" t="s">
        <v>1334</v>
      </c>
      <c r="L116" s="16" t="s">
        <v>1334</v>
      </c>
      <c r="Q116" s="16" t="s">
        <v>897</v>
      </c>
      <c r="S116" s="16" t="s">
        <v>897</v>
      </c>
      <c r="V116" s="16" t="s">
        <v>897</v>
      </c>
      <c r="W116" s="16" t="s">
        <v>897</v>
      </c>
      <c r="Z116" s="80"/>
      <c r="AA116" s="16"/>
      <c r="AB116" s="100"/>
      <c r="AC116" s="16" t="s">
        <v>897</v>
      </c>
      <c r="AF116" s="16"/>
      <c r="AG116" s="100"/>
      <c r="AH116" s="16" t="s">
        <v>897</v>
      </c>
    </row>
  </sheetData>
  <sheetProtection/>
  <mergeCells count="12">
    <mergeCell ref="AB8:AE8"/>
    <mergeCell ref="AG8:AJ8"/>
    <mergeCell ref="F8:I8"/>
    <mergeCell ref="K8:N8"/>
    <mergeCell ref="Q8:T8"/>
    <mergeCell ref="V8:Y8"/>
    <mergeCell ref="A1:D1"/>
    <mergeCell ref="A2:A5"/>
    <mergeCell ref="C4:D5"/>
    <mergeCell ref="A6:D6"/>
    <mergeCell ref="A7:D7"/>
    <mergeCell ref="B3:D3"/>
  </mergeCells>
  <printOptions/>
  <pageMargins left="0.11811023622047245" right="0.11811023622047245" top="0.35433070866141736" bottom="0.15748031496062992" header="0.31496062992125984" footer="0.31496062992125984"/>
  <pageSetup horizontalDpi="600" verticalDpi="600" orientation="landscape" paperSize="8" scale="63" r:id="rId1"/>
</worksheet>
</file>

<file path=xl/worksheets/sheet3.xml><?xml version="1.0" encoding="utf-8"?>
<worksheet xmlns="http://schemas.openxmlformats.org/spreadsheetml/2006/main" xmlns:r="http://schemas.openxmlformats.org/officeDocument/2006/relationships">
  <dimension ref="A1:AL143"/>
  <sheetViews>
    <sheetView zoomScalePageLayoutView="0" workbookViewId="0" topLeftCell="A1">
      <selection activeCell="AL143" sqref="A1:AL143"/>
    </sheetView>
  </sheetViews>
  <sheetFormatPr defaultColWidth="9.140625" defaultRowHeight="15"/>
  <cols>
    <col min="1" max="1" width="5.7109375" style="49" customWidth="1"/>
    <col min="2" max="2" width="64.00390625" style="16" customWidth="1"/>
    <col min="3" max="3" width="10.57421875" style="16" customWidth="1"/>
    <col min="4" max="4" width="13.28125" style="50" customWidth="1"/>
    <col min="5" max="5" width="1.421875" style="80" customWidth="1"/>
    <col min="6" max="7" width="11.8515625" style="16" customWidth="1"/>
    <col min="8" max="8" width="9.00390625" style="16" customWidth="1"/>
    <col min="9" max="9" width="11.8515625" style="16" customWidth="1"/>
    <col min="10" max="10" width="1.7109375" style="100" customWidth="1"/>
    <col min="11" max="11" width="11.8515625" style="16" customWidth="1"/>
    <col min="12" max="13" width="9.140625" style="16" hidden="1" customWidth="1"/>
    <col min="14" max="14" width="11.8515625" style="16" customWidth="1"/>
    <col min="15" max="15" width="14.140625" style="16" customWidth="1"/>
    <col min="16" max="16" width="1.421875" style="80" customWidth="1"/>
    <col min="17" max="17" width="11.8515625" style="16" customWidth="1"/>
    <col min="18" max="18" width="10.57421875" style="16" hidden="1" customWidth="1"/>
    <col min="19" max="19" width="9.140625" style="16" hidden="1" customWidth="1"/>
    <col min="20" max="20" width="11.8515625" style="16" customWidth="1"/>
    <col min="21" max="21" width="1.7109375" style="100" customWidth="1"/>
    <col min="22" max="22" width="11.8515625" style="16" customWidth="1"/>
    <col min="23" max="24" width="7.421875" style="16" hidden="1" customWidth="1"/>
    <col min="25" max="25" width="11.8515625" style="16" customWidth="1"/>
    <col min="26" max="26" width="1.7109375" style="100" customWidth="1"/>
    <col min="27" max="27" width="14.140625" style="16" customWidth="1"/>
    <col min="28" max="28" width="1.57421875" style="80" customWidth="1"/>
    <col min="29" max="29" width="11.8515625" style="16" customWidth="1"/>
    <col min="30" max="30" width="11.28125" style="16" customWidth="1"/>
    <col min="31" max="31" width="7.421875" style="16" hidden="1" customWidth="1"/>
    <col min="32" max="32" width="11.8515625" style="16" customWidth="1"/>
    <col min="33" max="33" width="1.7109375" style="100" customWidth="1"/>
    <col min="34" max="35" width="11.8515625" style="16" customWidth="1"/>
    <col min="36" max="36" width="9.00390625" style="16" hidden="1" customWidth="1"/>
    <col min="37" max="37" width="11.8515625" style="16" customWidth="1"/>
    <col min="38" max="38" width="14.140625" style="16" customWidth="1"/>
    <col min="39" max="16384" width="9.140625" style="16" customWidth="1"/>
  </cols>
  <sheetData>
    <row r="1" spans="1:4" ht="33" customHeight="1">
      <c r="A1" s="689" t="s">
        <v>371</v>
      </c>
      <c r="B1" s="690"/>
      <c r="C1" s="690"/>
      <c r="D1" s="690"/>
    </row>
    <row r="2" spans="1:4" ht="3.75" customHeight="1">
      <c r="A2" s="691"/>
      <c r="B2" s="17"/>
      <c r="C2" s="18"/>
      <c r="D2" s="19"/>
    </row>
    <row r="3" spans="1:4" ht="19.5" customHeight="1">
      <c r="A3" s="691"/>
      <c r="B3" s="697" t="s">
        <v>883</v>
      </c>
      <c r="C3" s="703"/>
      <c r="D3" s="703"/>
    </row>
    <row r="4" spans="1:4" ht="4.5" customHeight="1">
      <c r="A4" s="691"/>
      <c r="B4" s="20"/>
      <c r="C4" s="692"/>
      <c r="D4" s="692"/>
    </row>
    <row r="5" spans="1:4" ht="19.5" customHeight="1">
      <c r="A5" s="691"/>
      <c r="B5" s="653" t="s">
        <v>1511</v>
      </c>
      <c r="C5" s="702"/>
      <c r="D5" s="702"/>
    </row>
    <row r="6" spans="1:4" ht="6" customHeight="1">
      <c r="A6" s="693"/>
      <c r="B6" s="694"/>
      <c r="C6" s="694"/>
      <c r="D6" s="694"/>
    </row>
    <row r="7" spans="1:36" ht="15.75" customHeight="1">
      <c r="A7" s="695" t="s">
        <v>372</v>
      </c>
      <c r="B7" s="696"/>
      <c r="C7" s="696"/>
      <c r="D7" s="696"/>
      <c r="H7" s="16" t="s">
        <v>1356</v>
      </c>
      <c r="M7" s="16" t="s">
        <v>1357</v>
      </c>
      <c r="S7" s="16" t="s">
        <v>1358</v>
      </c>
      <c r="X7" s="16" t="s">
        <v>1359</v>
      </c>
      <c r="AE7" s="16" t="s">
        <v>1360</v>
      </c>
      <c r="AJ7" s="16" t="s">
        <v>1361</v>
      </c>
    </row>
    <row r="8" spans="1:38" ht="57" customHeight="1">
      <c r="A8" s="21" t="s">
        <v>373</v>
      </c>
      <c r="B8" s="22" t="s">
        <v>374</v>
      </c>
      <c r="C8" s="23" t="s">
        <v>375</v>
      </c>
      <c r="D8" s="24" t="s">
        <v>376</v>
      </c>
      <c r="F8" s="699" t="s">
        <v>1345</v>
      </c>
      <c r="G8" s="700"/>
      <c r="H8" s="700"/>
      <c r="I8" s="701"/>
      <c r="J8" s="365"/>
      <c r="K8" s="699" t="s">
        <v>1349</v>
      </c>
      <c r="L8" s="700"/>
      <c r="M8" s="700"/>
      <c r="N8" s="701"/>
      <c r="O8" s="24" t="s">
        <v>1350</v>
      </c>
      <c r="Q8" s="699" t="s">
        <v>1303</v>
      </c>
      <c r="R8" s="700"/>
      <c r="S8" s="700"/>
      <c r="T8" s="701"/>
      <c r="U8" s="365"/>
      <c r="V8" s="699" t="s">
        <v>898</v>
      </c>
      <c r="W8" s="700"/>
      <c r="X8" s="700"/>
      <c r="Y8" s="701"/>
      <c r="Z8" s="365"/>
      <c r="AA8" s="24" t="s">
        <v>1351</v>
      </c>
      <c r="AC8" s="704" t="s">
        <v>1304</v>
      </c>
      <c r="AD8" s="705"/>
      <c r="AE8" s="705"/>
      <c r="AF8" s="706"/>
      <c r="AG8" s="365"/>
      <c r="AH8" s="699" t="s">
        <v>1305</v>
      </c>
      <c r="AI8" s="700"/>
      <c r="AJ8" s="700"/>
      <c r="AK8" s="701"/>
      <c r="AL8" s="24" t="s">
        <v>1354</v>
      </c>
    </row>
    <row r="9" spans="1:38" ht="28.5" customHeight="1">
      <c r="A9" s="81" t="s">
        <v>341</v>
      </c>
      <c r="B9" s="82" t="s">
        <v>342</v>
      </c>
      <c r="C9" s="82" t="s">
        <v>343</v>
      </c>
      <c r="D9" s="83" t="s">
        <v>344</v>
      </c>
      <c r="F9" s="370" t="s">
        <v>1307</v>
      </c>
      <c r="G9" s="370" t="s">
        <v>1346</v>
      </c>
      <c r="H9" s="370" t="s">
        <v>1347</v>
      </c>
      <c r="I9" s="369" t="s">
        <v>340</v>
      </c>
      <c r="J9" s="363"/>
      <c r="K9" s="370" t="s">
        <v>1307</v>
      </c>
      <c r="L9" s="370" t="s">
        <v>1346</v>
      </c>
      <c r="M9" s="370" t="s">
        <v>1347</v>
      </c>
      <c r="N9" s="369" t="s">
        <v>340</v>
      </c>
      <c r="O9" s="372" t="s">
        <v>1348</v>
      </c>
      <c r="Q9" s="370" t="s">
        <v>1307</v>
      </c>
      <c r="R9" s="370" t="s">
        <v>1346</v>
      </c>
      <c r="S9" s="370" t="s">
        <v>1347</v>
      </c>
      <c r="T9" s="369" t="s">
        <v>340</v>
      </c>
      <c r="U9" s="363"/>
      <c r="V9" s="370" t="s">
        <v>1307</v>
      </c>
      <c r="W9" s="370" t="s">
        <v>1346</v>
      </c>
      <c r="X9" s="370" t="s">
        <v>1347</v>
      </c>
      <c r="Y9" s="369" t="s">
        <v>340</v>
      </c>
      <c r="Z9" s="363"/>
      <c r="AA9" s="372" t="s">
        <v>1352</v>
      </c>
      <c r="AC9" s="370" t="s">
        <v>1307</v>
      </c>
      <c r="AD9" s="370" t="s">
        <v>1346</v>
      </c>
      <c r="AE9" s="370" t="s">
        <v>1347</v>
      </c>
      <c r="AF9" s="369" t="s">
        <v>340</v>
      </c>
      <c r="AG9" s="363"/>
      <c r="AH9" s="370" t="s">
        <v>1307</v>
      </c>
      <c r="AI9" s="370" t="s">
        <v>1346</v>
      </c>
      <c r="AJ9" s="370" t="s">
        <v>1347</v>
      </c>
      <c r="AK9" s="369" t="s">
        <v>340</v>
      </c>
      <c r="AL9" s="372" t="s">
        <v>1355</v>
      </c>
    </row>
    <row r="10" spans="1:38" s="29" customFormat="1" ht="12.75" customHeight="1">
      <c r="A10" s="25" t="s">
        <v>377</v>
      </c>
      <c r="B10" s="26" t="s">
        <v>378</v>
      </c>
      <c r="C10" s="27" t="s">
        <v>379</v>
      </c>
      <c r="D10" s="28">
        <f aca="true" t="shared" si="0" ref="D10:D22">O10+AA10+AL10</f>
        <v>177659600</v>
      </c>
      <c r="E10" s="99"/>
      <c r="F10" s="28">
        <f>'Összesített ktgvetés'!H79</f>
        <v>11820000</v>
      </c>
      <c r="G10" s="28"/>
      <c r="H10" s="28"/>
      <c r="I10" s="349">
        <f>SUM(F10:H10)</f>
        <v>11820000</v>
      </c>
      <c r="J10" s="120"/>
      <c r="K10" s="28">
        <f>'Összesített ktgvetés'!L79</f>
        <v>29542000</v>
      </c>
      <c r="L10" s="28"/>
      <c r="M10" s="28"/>
      <c r="N10" s="349">
        <f>SUM(K10:M10)</f>
        <v>29542000</v>
      </c>
      <c r="O10" s="373">
        <f>I10+N10</f>
        <v>41362000</v>
      </c>
      <c r="P10" s="99"/>
      <c r="Q10" s="28">
        <f>'Összesített ktgvetés'!O79</f>
        <v>10747600</v>
      </c>
      <c r="R10" s="28"/>
      <c r="S10" s="28"/>
      <c r="T10" s="349">
        <f>SUM(Q10:S10)</f>
        <v>10747600</v>
      </c>
      <c r="U10" s="120"/>
      <c r="V10" s="28">
        <f>'Összesített ktgvetés'!S79</f>
        <v>4101000</v>
      </c>
      <c r="W10" s="28"/>
      <c r="X10" s="28"/>
      <c r="Y10" s="349">
        <f>SUM(V10:X10)</f>
        <v>4101000</v>
      </c>
      <c r="Z10" s="120"/>
      <c r="AA10" s="373">
        <f>T10+Y10</f>
        <v>14848600</v>
      </c>
      <c r="AB10" s="99"/>
      <c r="AC10" s="28">
        <f>'Összesített ktgvetés'!Z79</f>
        <v>47046000</v>
      </c>
      <c r="AD10" s="28"/>
      <c r="AE10" s="28"/>
      <c r="AF10" s="349">
        <f>SUM(AC10:AE10)</f>
        <v>47046000</v>
      </c>
      <c r="AG10" s="120"/>
      <c r="AH10" s="28">
        <f>'Összesített ktgvetés'!AD79</f>
        <v>74403000</v>
      </c>
      <c r="AI10" s="28"/>
      <c r="AJ10" s="28"/>
      <c r="AK10" s="349">
        <f>SUM(AH10:AJ10)</f>
        <v>74403000</v>
      </c>
      <c r="AL10" s="373">
        <f>AF10+AK10</f>
        <v>121449000</v>
      </c>
    </row>
    <row r="11" spans="1:38" s="29" customFormat="1" ht="12.75" customHeight="1">
      <c r="A11" s="25" t="s">
        <v>380</v>
      </c>
      <c r="B11" s="26" t="s">
        <v>381</v>
      </c>
      <c r="C11" s="30" t="s">
        <v>382</v>
      </c>
      <c r="D11" s="28">
        <f t="shared" si="0"/>
        <v>0</v>
      </c>
      <c r="E11" s="99"/>
      <c r="F11" s="28"/>
      <c r="G11" s="28"/>
      <c r="H11" s="28"/>
      <c r="I11" s="349">
        <f aca="true" t="shared" si="1" ref="I11:I22">SUM(F11:H11)</f>
        <v>0</v>
      </c>
      <c r="J11" s="120"/>
      <c r="K11" s="28"/>
      <c r="L11" s="28"/>
      <c r="M11" s="28"/>
      <c r="N11" s="349">
        <f aca="true" t="shared" si="2" ref="N11:N22">SUM(K11:M11)</f>
        <v>0</v>
      </c>
      <c r="O11" s="373">
        <f aca="true" t="shared" si="3" ref="O11:O22">I11+N11</f>
        <v>0</v>
      </c>
      <c r="P11" s="99"/>
      <c r="Q11" s="28"/>
      <c r="R11" s="28"/>
      <c r="S11" s="28"/>
      <c r="T11" s="349">
        <f aca="true" t="shared" si="4" ref="T11:T22">SUM(Q11:S11)</f>
        <v>0</v>
      </c>
      <c r="U11" s="120"/>
      <c r="V11" s="28">
        <v>0</v>
      </c>
      <c r="W11" s="28"/>
      <c r="X11" s="28"/>
      <c r="Y11" s="349">
        <f aca="true" t="shared" si="5" ref="Y11:Y22">SUM(V11:X11)</f>
        <v>0</v>
      </c>
      <c r="Z11" s="120"/>
      <c r="AA11" s="373">
        <f aca="true" t="shared" si="6" ref="AA11:AA26">T11+Y11</f>
        <v>0</v>
      </c>
      <c r="AB11" s="99"/>
      <c r="AC11" s="28">
        <v>0</v>
      </c>
      <c r="AD11" s="28"/>
      <c r="AE11" s="28"/>
      <c r="AF11" s="349">
        <f aca="true" t="shared" si="7" ref="AF11:AF22">SUM(AC11:AE11)</f>
        <v>0</v>
      </c>
      <c r="AG11" s="120"/>
      <c r="AH11" s="28">
        <v>0</v>
      </c>
      <c r="AI11" s="28"/>
      <c r="AJ11" s="28"/>
      <c r="AK11" s="349">
        <f aca="true" t="shared" si="8" ref="AK11:AK22">SUM(AH11:AJ11)</f>
        <v>0</v>
      </c>
      <c r="AL11" s="373">
        <f aca="true" t="shared" si="9" ref="AL11:AL22">AF11+AK11</f>
        <v>0</v>
      </c>
    </row>
    <row r="12" spans="1:38" s="29" customFormat="1" ht="12.75" customHeight="1">
      <c r="A12" s="25" t="s">
        <v>383</v>
      </c>
      <c r="B12" s="26" t="s">
        <v>384</v>
      </c>
      <c r="C12" s="30" t="s">
        <v>385</v>
      </c>
      <c r="D12" s="28">
        <f t="shared" si="0"/>
        <v>0</v>
      </c>
      <c r="E12" s="99"/>
      <c r="F12" s="28"/>
      <c r="G12" s="28"/>
      <c r="H12" s="28"/>
      <c r="I12" s="349">
        <f t="shared" si="1"/>
        <v>0</v>
      </c>
      <c r="J12" s="120"/>
      <c r="K12" s="28"/>
      <c r="L12" s="28"/>
      <c r="M12" s="28"/>
      <c r="N12" s="349">
        <f t="shared" si="2"/>
        <v>0</v>
      </c>
      <c r="O12" s="373">
        <f t="shared" si="3"/>
        <v>0</v>
      </c>
      <c r="P12" s="99"/>
      <c r="Q12" s="28"/>
      <c r="R12" s="28"/>
      <c r="S12" s="28"/>
      <c r="T12" s="349">
        <f t="shared" si="4"/>
        <v>0</v>
      </c>
      <c r="U12" s="120"/>
      <c r="V12" s="28">
        <v>0</v>
      </c>
      <c r="W12" s="28"/>
      <c r="X12" s="28"/>
      <c r="Y12" s="349">
        <f t="shared" si="5"/>
        <v>0</v>
      </c>
      <c r="Z12" s="120"/>
      <c r="AA12" s="373">
        <f t="shared" si="6"/>
        <v>0</v>
      </c>
      <c r="AB12" s="99"/>
      <c r="AC12" s="28">
        <v>0</v>
      </c>
      <c r="AD12" s="28"/>
      <c r="AE12" s="28"/>
      <c r="AF12" s="349">
        <f t="shared" si="7"/>
        <v>0</v>
      </c>
      <c r="AG12" s="120"/>
      <c r="AH12" s="28">
        <v>0</v>
      </c>
      <c r="AI12" s="28"/>
      <c r="AJ12" s="28"/>
      <c r="AK12" s="349">
        <f t="shared" si="8"/>
        <v>0</v>
      </c>
      <c r="AL12" s="373">
        <f t="shared" si="9"/>
        <v>0</v>
      </c>
    </row>
    <row r="13" spans="1:38" s="29" customFormat="1" ht="12.75" customHeight="1">
      <c r="A13" s="25" t="s">
        <v>386</v>
      </c>
      <c r="B13" s="31" t="s">
        <v>387</v>
      </c>
      <c r="C13" s="30" t="s">
        <v>388</v>
      </c>
      <c r="D13" s="28">
        <f t="shared" si="0"/>
        <v>0</v>
      </c>
      <c r="E13" s="99"/>
      <c r="F13" s="28"/>
      <c r="G13" s="28"/>
      <c r="H13" s="28"/>
      <c r="I13" s="349">
        <f t="shared" si="1"/>
        <v>0</v>
      </c>
      <c r="J13" s="120"/>
      <c r="K13" s="28"/>
      <c r="L13" s="28"/>
      <c r="M13" s="28"/>
      <c r="N13" s="349">
        <f t="shared" si="2"/>
        <v>0</v>
      </c>
      <c r="O13" s="373">
        <f t="shared" si="3"/>
        <v>0</v>
      </c>
      <c r="P13" s="99"/>
      <c r="Q13" s="28"/>
      <c r="R13" s="28"/>
      <c r="S13" s="28"/>
      <c r="T13" s="349">
        <f t="shared" si="4"/>
        <v>0</v>
      </c>
      <c r="U13" s="120"/>
      <c r="V13" s="28">
        <v>0</v>
      </c>
      <c r="W13" s="28"/>
      <c r="X13" s="28"/>
      <c r="Y13" s="349">
        <f t="shared" si="5"/>
        <v>0</v>
      </c>
      <c r="Z13" s="120"/>
      <c r="AA13" s="373">
        <f t="shared" si="6"/>
        <v>0</v>
      </c>
      <c r="AB13" s="99"/>
      <c r="AC13" s="28">
        <v>0</v>
      </c>
      <c r="AD13" s="28"/>
      <c r="AE13" s="28"/>
      <c r="AF13" s="349">
        <f t="shared" si="7"/>
        <v>0</v>
      </c>
      <c r="AG13" s="120"/>
      <c r="AH13" s="28">
        <v>0</v>
      </c>
      <c r="AI13" s="28"/>
      <c r="AJ13" s="28"/>
      <c r="AK13" s="349">
        <f t="shared" si="8"/>
        <v>0</v>
      </c>
      <c r="AL13" s="373">
        <f t="shared" si="9"/>
        <v>0</v>
      </c>
    </row>
    <row r="14" spans="1:38" s="29" customFormat="1" ht="12.75" customHeight="1">
      <c r="A14" s="25" t="s">
        <v>389</v>
      </c>
      <c r="B14" s="31" t="s">
        <v>390</v>
      </c>
      <c r="C14" s="30" t="s">
        <v>391</v>
      </c>
      <c r="D14" s="28">
        <f t="shared" si="0"/>
        <v>0</v>
      </c>
      <c r="E14" s="99"/>
      <c r="F14" s="28"/>
      <c r="G14" s="28"/>
      <c r="H14" s="28"/>
      <c r="I14" s="349">
        <f t="shared" si="1"/>
        <v>0</v>
      </c>
      <c r="J14" s="120"/>
      <c r="K14" s="28"/>
      <c r="L14" s="28"/>
      <c r="M14" s="28"/>
      <c r="N14" s="349">
        <f t="shared" si="2"/>
        <v>0</v>
      </c>
      <c r="O14" s="373">
        <f t="shared" si="3"/>
        <v>0</v>
      </c>
      <c r="P14" s="99"/>
      <c r="Q14" s="28"/>
      <c r="R14" s="28"/>
      <c r="S14" s="28"/>
      <c r="T14" s="349">
        <f t="shared" si="4"/>
        <v>0</v>
      </c>
      <c r="U14" s="120"/>
      <c r="V14" s="28">
        <v>0</v>
      </c>
      <c r="W14" s="28"/>
      <c r="X14" s="28"/>
      <c r="Y14" s="349">
        <f t="shared" si="5"/>
        <v>0</v>
      </c>
      <c r="Z14" s="120"/>
      <c r="AA14" s="373">
        <f t="shared" si="6"/>
        <v>0</v>
      </c>
      <c r="AB14" s="99"/>
      <c r="AC14" s="28">
        <v>0</v>
      </c>
      <c r="AD14" s="28"/>
      <c r="AE14" s="28"/>
      <c r="AF14" s="349">
        <f t="shared" si="7"/>
        <v>0</v>
      </c>
      <c r="AG14" s="120"/>
      <c r="AH14" s="28">
        <v>0</v>
      </c>
      <c r="AI14" s="28"/>
      <c r="AJ14" s="28"/>
      <c r="AK14" s="349">
        <f t="shared" si="8"/>
        <v>0</v>
      </c>
      <c r="AL14" s="373">
        <f t="shared" si="9"/>
        <v>0</v>
      </c>
    </row>
    <row r="15" spans="1:38" s="29" customFormat="1" ht="12.75" customHeight="1">
      <c r="A15" s="25" t="s">
        <v>392</v>
      </c>
      <c r="B15" s="31" t="s">
        <v>393</v>
      </c>
      <c r="C15" s="30" t="s">
        <v>394</v>
      </c>
      <c r="D15" s="28">
        <f t="shared" si="0"/>
        <v>0</v>
      </c>
      <c r="E15" s="99"/>
      <c r="F15" s="28"/>
      <c r="G15" s="28"/>
      <c r="H15" s="28"/>
      <c r="I15" s="349">
        <f t="shared" si="1"/>
        <v>0</v>
      </c>
      <c r="J15" s="120"/>
      <c r="K15" s="28"/>
      <c r="L15" s="28"/>
      <c r="M15" s="28"/>
      <c r="N15" s="349">
        <f t="shared" si="2"/>
        <v>0</v>
      </c>
      <c r="O15" s="373">
        <f t="shared" si="3"/>
        <v>0</v>
      </c>
      <c r="P15" s="99"/>
      <c r="Q15" s="28"/>
      <c r="R15" s="28"/>
      <c r="S15" s="28"/>
      <c r="T15" s="349">
        <f t="shared" si="4"/>
        <v>0</v>
      </c>
      <c r="U15" s="120"/>
      <c r="V15" s="28">
        <v>0</v>
      </c>
      <c r="W15" s="28"/>
      <c r="X15" s="28"/>
      <c r="Y15" s="349">
        <f t="shared" si="5"/>
        <v>0</v>
      </c>
      <c r="Z15" s="120"/>
      <c r="AA15" s="373">
        <f t="shared" si="6"/>
        <v>0</v>
      </c>
      <c r="AB15" s="99"/>
      <c r="AC15" s="28">
        <v>0</v>
      </c>
      <c r="AD15" s="28"/>
      <c r="AE15" s="28"/>
      <c r="AF15" s="349">
        <f t="shared" si="7"/>
        <v>0</v>
      </c>
      <c r="AG15" s="120"/>
      <c r="AH15" s="28">
        <v>0</v>
      </c>
      <c r="AI15" s="28"/>
      <c r="AJ15" s="28"/>
      <c r="AK15" s="349">
        <f t="shared" si="8"/>
        <v>0</v>
      </c>
      <c r="AL15" s="373">
        <f t="shared" si="9"/>
        <v>0</v>
      </c>
    </row>
    <row r="16" spans="1:38" s="29" customFormat="1" ht="12.75" customHeight="1">
      <c r="A16" s="25" t="s">
        <v>395</v>
      </c>
      <c r="B16" s="31" t="s">
        <v>396</v>
      </c>
      <c r="C16" s="30" t="s">
        <v>397</v>
      </c>
      <c r="D16" s="28">
        <f t="shared" si="0"/>
        <v>5583000</v>
      </c>
      <c r="E16" s="99"/>
      <c r="F16" s="28">
        <f>'Összesített ktgvetés'!H86</f>
        <v>400000</v>
      </c>
      <c r="G16" s="28"/>
      <c r="H16" s="28"/>
      <c r="I16" s="349">
        <f t="shared" si="1"/>
        <v>400000</v>
      </c>
      <c r="J16" s="120"/>
      <c r="K16" s="28">
        <f>'Összesített ktgvetés'!L86</f>
        <v>583000</v>
      </c>
      <c r="L16" s="28"/>
      <c r="M16" s="28"/>
      <c r="N16" s="349">
        <f t="shared" si="2"/>
        <v>583000</v>
      </c>
      <c r="O16" s="373">
        <f t="shared" si="3"/>
        <v>983000</v>
      </c>
      <c r="P16" s="99"/>
      <c r="Q16" s="28">
        <f>'Összesített ktgvetés'!O86</f>
        <v>400000</v>
      </c>
      <c r="R16" s="28"/>
      <c r="S16" s="28"/>
      <c r="T16" s="349">
        <f t="shared" si="4"/>
        <v>400000</v>
      </c>
      <c r="U16" s="120"/>
      <c r="V16" s="28">
        <f>'Összesített ktgvetés'!S86</f>
        <v>200000</v>
      </c>
      <c r="W16" s="28"/>
      <c r="X16" s="28"/>
      <c r="Y16" s="349">
        <f t="shared" si="5"/>
        <v>200000</v>
      </c>
      <c r="Z16" s="120"/>
      <c r="AA16" s="373">
        <f t="shared" si="6"/>
        <v>600000</v>
      </c>
      <c r="AB16" s="99"/>
      <c r="AC16" s="28">
        <f>'Összesített ktgvetés'!Z86</f>
        <v>2000000</v>
      </c>
      <c r="AD16" s="28"/>
      <c r="AE16" s="28"/>
      <c r="AF16" s="349">
        <f t="shared" si="7"/>
        <v>2000000</v>
      </c>
      <c r="AG16" s="120"/>
      <c r="AH16" s="28">
        <f>'Összesített ktgvetés'!AD86</f>
        <v>2000000</v>
      </c>
      <c r="AI16" s="28"/>
      <c r="AJ16" s="28"/>
      <c r="AK16" s="349">
        <f t="shared" si="8"/>
        <v>2000000</v>
      </c>
      <c r="AL16" s="373">
        <f t="shared" si="9"/>
        <v>4000000</v>
      </c>
    </row>
    <row r="17" spans="1:38" s="29" customFormat="1" ht="12.75" customHeight="1">
      <c r="A17" s="25" t="s">
        <v>398</v>
      </c>
      <c r="B17" s="31" t="s">
        <v>399</v>
      </c>
      <c r="C17" s="30" t="s">
        <v>400</v>
      </c>
      <c r="D17" s="28">
        <f t="shared" si="0"/>
        <v>0</v>
      </c>
      <c r="E17" s="99"/>
      <c r="F17" s="28"/>
      <c r="G17" s="28"/>
      <c r="H17" s="28"/>
      <c r="I17" s="349">
        <f t="shared" si="1"/>
        <v>0</v>
      </c>
      <c r="J17" s="120"/>
      <c r="K17" s="28"/>
      <c r="L17" s="28"/>
      <c r="M17" s="28"/>
      <c r="N17" s="349">
        <f t="shared" si="2"/>
        <v>0</v>
      </c>
      <c r="O17" s="373">
        <f t="shared" si="3"/>
        <v>0</v>
      </c>
      <c r="P17" s="99"/>
      <c r="Q17" s="28"/>
      <c r="R17" s="28"/>
      <c r="S17" s="28"/>
      <c r="T17" s="349">
        <f t="shared" si="4"/>
        <v>0</v>
      </c>
      <c r="U17" s="120"/>
      <c r="V17" s="28">
        <v>0</v>
      </c>
      <c r="W17" s="28"/>
      <c r="X17" s="28"/>
      <c r="Y17" s="349">
        <f t="shared" si="5"/>
        <v>0</v>
      </c>
      <c r="Z17" s="120"/>
      <c r="AA17" s="373">
        <f t="shared" si="6"/>
        <v>0</v>
      </c>
      <c r="AB17" s="99"/>
      <c r="AC17" s="28">
        <v>0</v>
      </c>
      <c r="AD17" s="28"/>
      <c r="AE17" s="28"/>
      <c r="AF17" s="349">
        <f t="shared" si="7"/>
        <v>0</v>
      </c>
      <c r="AG17" s="120"/>
      <c r="AH17" s="28">
        <v>0</v>
      </c>
      <c r="AI17" s="28"/>
      <c r="AJ17" s="28"/>
      <c r="AK17" s="349">
        <f t="shared" si="8"/>
        <v>0</v>
      </c>
      <c r="AL17" s="373">
        <f t="shared" si="9"/>
        <v>0</v>
      </c>
    </row>
    <row r="18" spans="1:38" s="29" customFormat="1" ht="12.75" customHeight="1">
      <c r="A18" s="25" t="s">
        <v>401</v>
      </c>
      <c r="B18" s="32" t="s">
        <v>402</v>
      </c>
      <c r="C18" s="30" t="s">
        <v>403</v>
      </c>
      <c r="D18" s="28">
        <f t="shared" si="0"/>
        <v>5508400</v>
      </c>
      <c r="E18" s="99"/>
      <c r="F18" s="28">
        <f>'Összesített ktgvetés'!F92</f>
        <v>360000</v>
      </c>
      <c r="G18" s="28"/>
      <c r="H18" s="28"/>
      <c r="I18" s="349">
        <f t="shared" si="1"/>
        <v>360000</v>
      </c>
      <c r="J18" s="120"/>
      <c r="K18" s="28">
        <f>'Összesített ktgvetés'!L92</f>
        <v>1060000</v>
      </c>
      <c r="L18" s="28"/>
      <c r="M18" s="28"/>
      <c r="N18" s="349">
        <f t="shared" si="2"/>
        <v>1060000</v>
      </c>
      <c r="O18" s="373">
        <f t="shared" si="3"/>
        <v>1420000</v>
      </c>
      <c r="P18" s="99"/>
      <c r="Q18" s="28">
        <f>'Összesített ktgvetés'!O92</f>
        <v>299400</v>
      </c>
      <c r="R18" s="28"/>
      <c r="S18" s="28"/>
      <c r="T18" s="349">
        <f t="shared" si="4"/>
        <v>299400</v>
      </c>
      <c r="U18" s="120"/>
      <c r="V18" s="28">
        <v>0</v>
      </c>
      <c r="W18" s="28"/>
      <c r="X18" s="28"/>
      <c r="Y18" s="349">
        <f t="shared" si="5"/>
        <v>0</v>
      </c>
      <c r="Z18" s="120"/>
      <c r="AA18" s="373">
        <f t="shared" si="6"/>
        <v>299400</v>
      </c>
      <c r="AB18" s="99"/>
      <c r="AC18" s="28">
        <f>'Összesített ktgvetés'!Z92</f>
        <v>2714000</v>
      </c>
      <c r="AD18" s="28"/>
      <c r="AE18" s="28"/>
      <c r="AF18" s="349">
        <f t="shared" si="7"/>
        <v>2714000</v>
      </c>
      <c r="AG18" s="120"/>
      <c r="AH18" s="28">
        <f>'Összesített ktgvetés'!AD92</f>
        <v>1075000</v>
      </c>
      <c r="AI18" s="28"/>
      <c r="AJ18" s="28"/>
      <c r="AK18" s="349">
        <f t="shared" si="8"/>
        <v>1075000</v>
      </c>
      <c r="AL18" s="373">
        <f t="shared" si="9"/>
        <v>3789000</v>
      </c>
    </row>
    <row r="19" spans="1:38" s="29" customFormat="1" ht="12.75" customHeight="1">
      <c r="A19" s="25" t="s">
        <v>404</v>
      </c>
      <c r="B19" s="32" t="s">
        <v>405</v>
      </c>
      <c r="C19" s="30" t="s">
        <v>406</v>
      </c>
      <c r="D19" s="28">
        <f t="shared" si="0"/>
        <v>0</v>
      </c>
      <c r="E19" s="99"/>
      <c r="F19" s="28"/>
      <c r="G19" s="28"/>
      <c r="H19" s="28"/>
      <c r="I19" s="349">
        <f t="shared" si="1"/>
        <v>0</v>
      </c>
      <c r="J19" s="120"/>
      <c r="K19" s="28"/>
      <c r="L19" s="28"/>
      <c r="M19" s="28"/>
      <c r="N19" s="349">
        <f t="shared" si="2"/>
        <v>0</v>
      </c>
      <c r="O19" s="373">
        <f t="shared" si="3"/>
        <v>0</v>
      </c>
      <c r="P19" s="99"/>
      <c r="Q19" s="28"/>
      <c r="R19" s="28"/>
      <c r="S19" s="28"/>
      <c r="T19" s="349">
        <f t="shared" si="4"/>
        <v>0</v>
      </c>
      <c r="U19" s="120"/>
      <c r="V19" s="28">
        <v>0</v>
      </c>
      <c r="W19" s="28"/>
      <c r="X19" s="28"/>
      <c r="Y19" s="349">
        <f t="shared" si="5"/>
        <v>0</v>
      </c>
      <c r="Z19" s="120"/>
      <c r="AA19" s="373">
        <f t="shared" si="6"/>
        <v>0</v>
      </c>
      <c r="AB19" s="99"/>
      <c r="AC19" s="28">
        <v>0</v>
      </c>
      <c r="AD19" s="28"/>
      <c r="AE19" s="28"/>
      <c r="AF19" s="349">
        <f t="shared" si="7"/>
        <v>0</v>
      </c>
      <c r="AG19" s="120"/>
      <c r="AH19" s="28">
        <v>0</v>
      </c>
      <c r="AI19" s="28"/>
      <c r="AJ19" s="28"/>
      <c r="AK19" s="349">
        <f t="shared" si="8"/>
        <v>0</v>
      </c>
      <c r="AL19" s="373">
        <f t="shared" si="9"/>
        <v>0</v>
      </c>
    </row>
    <row r="20" spans="1:38" s="29" customFormat="1" ht="12.75" customHeight="1">
      <c r="A20" s="25" t="s">
        <v>407</v>
      </c>
      <c r="B20" s="32" t="s">
        <v>408</v>
      </c>
      <c r="C20" s="30" t="s">
        <v>409</v>
      </c>
      <c r="D20" s="28">
        <f t="shared" si="0"/>
        <v>0</v>
      </c>
      <c r="E20" s="99"/>
      <c r="F20" s="28"/>
      <c r="G20" s="28"/>
      <c r="H20" s="28"/>
      <c r="I20" s="349">
        <f t="shared" si="1"/>
        <v>0</v>
      </c>
      <c r="J20" s="120"/>
      <c r="K20" s="28"/>
      <c r="L20" s="28"/>
      <c r="M20" s="28"/>
      <c r="N20" s="349">
        <f t="shared" si="2"/>
        <v>0</v>
      </c>
      <c r="O20" s="373">
        <f t="shared" si="3"/>
        <v>0</v>
      </c>
      <c r="P20" s="99"/>
      <c r="Q20" s="28"/>
      <c r="R20" s="28"/>
      <c r="S20" s="28"/>
      <c r="T20" s="349">
        <f t="shared" si="4"/>
        <v>0</v>
      </c>
      <c r="U20" s="120"/>
      <c r="V20" s="28">
        <v>0</v>
      </c>
      <c r="W20" s="28"/>
      <c r="X20" s="28"/>
      <c r="Y20" s="349">
        <f t="shared" si="5"/>
        <v>0</v>
      </c>
      <c r="Z20" s="120"/>
      <c r="AA20" s="373">
        <f t="shared" si="6"/>
        <v>0</v>
      </c>
      <c r="AB20" s="99"/>
      <c r="AC20" s="28">
        <v>0</v>
      </c>
      <c r="AD20" s="28"/>
      <c r="AE20" s="28"/>
      <c r="AF20" s="349">
        <f t="shared" si="7"/>
        <v>0</v>
      </c>
      <c r="AG20" s="120"/>
      <c r="AH20" s="28">
        <v>0</v>
      </c>
      <c r="AI20" s="28"/>
      <c r="AJ20" s="28"/>
      <c r="AK20" s="349">
        <f t="shared" si="8"/>
        <v>0</v>
      </c>
      <c r="AL20" s="373">
        <f t="shared" si="9"/>
        <v>0</v>
      </c>
    </row>
    <row r="21" spans="1:38" s="33" customFormat="1" ht="12.75" customHeight="1">
      <c r="A21" s="25" t="s">
        <v>410</v>
      </c>
      <c r="B21" s="32" t="s">
        <v>411</v>
      </c>
      <c r="C21" s="30" t="s">
        <v>412</v>
      </c>
      <c r="D21" s="28">
        <f t="shared" si="0"/>
        <v>0</v>
      </c>
      <c r="E21" s="119"/>
      <c r="F21" s="28"/>
      <c r="G21" s="28"/>
      <c r="H21" s="28"/>
      <c r="I21" s="349">
        <f t="shared" si="1"/>
        <v>0</v>
      </c>
      <c r="J21" s="120"/>
      <c r="K21" s="28"/>
      <c r="L21" s="28"/>
      <c r="M21" s="28"/>
      <c r="N21" s="349">
        <f t="shared" si="2"/>
        <v>0</v>
      </c>
      <c r="O21" s="373">
        <f t="shared" si="3"/>
        <v>0</v>
      </c>
      <c r="P21" s="99"/>
      <c r="Q21" s="28"/>
      <c r="R21" s="28"/>
      <c r="S21" s="28"/>
      <c r="T21" s="349">
        <f t="shared" si="4"/>
        <v>0</v>
      </c>
      <c r="U21" s="120"/>
      <c r="V21" s="28">
        <v>0</v>
      </c>
      <c r="W21" s="28"/>
      <c r="X21" s="28"/>
      <c r="Y21" s="349">
        <f t="shared" si="5"/>
        <v>0</v>
      </c>
      <c r="Z21" s="120"/>
      <c r="AA21" s="373">
        <f t="shared" si="6"/>
        <v>0</v>
      </c>
      <c r="AB21" s="99"/>
      <c r="AC21" s="28">
        <v>0</v>
      </c>
      <c r="AD21" s="28"/>
      <c r="AE21" s="28"/>
      <c r="AF21" s="349">
        <f t="shared" si="7"/>
        <v>0</v>
      </c>
      <c r="AG21" s="120"/>
      <c r="AH21" s="28">
        <v>0</v>
      </c>
      <c r="AI21" s="28"/>
      <c r="AJ21" s="28"/>
      <c r="AK21" s="349">
        <f t="shared" si="8"/>
        <v>0</v>
      </c>
      <c r="AL21" s="373">
        <f t="shared" si="9"/>
        <v>0</v>
      </c>
    </row>
    <row r="22" spans="1:38" s="33" customFormat="1" ht="12.75" customHeight="1">
      <c r="A22" s="25" t="s">
        <v>413</v>
      </c>
      <c r="B22" s="32" t="s">
        <v>414</v>
      </c>
      <c r="C22" s="30" t="s">
        <v>415</v>
      </c>
      <c r="D22" s="28">
        <f t="shared" si="0"/>
        <v>932000</v>
      </c>
      <c r="E22" s="119"/>
      <c r="F22" s="28">
        <f>'Összesített ktgvetés'!F97</f>
        <v>0</v>
      </c>
      <c r="G22" s="28"/>
      <c r="H22" s="28"/>
      <c r="I22" s="349">
        <f t="shared" si="1"/>
        <v>0</v>
      </c>
      <c r="J22" s="120"/>
      <c r="K22" s="28">
        <f>'Összesített ktgvetés'!L97</f>
        <v>0</v>
      </c>
      <c r="L22" s="28"/>
      <c r="M22" s="28"/>
      <c r="N22" s="349">
        <f t="shared" si="2"/>
        <v>0</v>
      </c>
      <c r="O22" s="373">
        <f t="shared" si="3"/>
        <v>0</v>
      </c>
      <c r="P22" s="99"/>
      <c r="Q22" s="28">
        <f>'Összesített ktgvetés'!Q97</f>
        <v>0</v>
      </c>
      <c r="R22" s="28"/>
      <c r="S22" s="28"/>
      <c r="T22" s="349">
        <f t="shared" si="4"/>
        <v>0</v>
      </c>
      <c r="U22" s="120"/>
      <c r="V22" s="28">
        <v>0</v>
      </c>
      <c r="W22" s="28"/>
      <c r="X22" s="28"/>
      <c r="Y22" s="349">
        <f t="shared" si="5"/>
        <v>0</v>
      </c>
      <c r="Z22" s="120"/>
      <c r="AA22" s="373">
        <f t="shared" si="6"/>
        <v>0</v>
      </c>
      <c r="AB22" s="99"/>
      <c r="AC22" s="28">
        <v>0</v>
      </c>
      <c r="AD22" s="28"/>
      <c r="AE22" s="28"/>
      <c r="AF22" s="349">
        <f t="shared" si="7"/>
        <v>0</v>
      </c>
      <c r="AG22" s="120"/>
      <c r="AH22" s="28">
        <f>'Összesített ktgvetés'!AD97</f>
        <v>932000</v>
      </c>
      <c r="AI22" s="28"/>
      <c r="AJ22" s="28"/>
      <c r="AK22" s="349">
        <f t="shared" si="8"/>
        <v>932000</v>
      </c>
      <c r="AL22" s="373">
        <f t="shared" si="9"/>
        <v>932000</v>
      </c>
    </row>
    <row r="23" spans="1:38" s="103" customFormat="1" ht="12.75" customHeight="1">
      <c r="A23" s="110" t="s">
        <v>416</v>
      </c>
      <c r="B23" s="111" t="s">
        <v>417</v>
      </c>
      <c r="C23" s="112" t="s">
        <v>418</v>
      </c>
      <c r="D23" s="56">
        <f>SUM(D10:D22)</f>
        <v>189683000</v>
      </c>
      <c r="F23" s="56">
        <f>SUM(F10:F22)</f>
        <v>12580000</v>
      </c>
      <c r="G23" s="56">
        <f>SUM(G10:G22)</f>
        <v>0</v>
      </c>
      <c r="H23" s="56">
        <f>SUM(H10:H22)</f>
        <v>0</v>
      </c>
      <c r="I23" s="56">
        <f>SUM(I10:I22)</f>
        <v>12580000</v>
      </c>
      <c r="J23" s="362"/>
      <c r="K23" s="56">
        <f>SUM(K10:K22)</f>
        <v>31185000</v>
      </c>
      <c r="L23" s="56">
        <f>SUM(L10:L22)</f>
        <v>0</v>
      </c>
      <c r="M23" s="56">
        <f>SUM(M10:M22)</f>
        <v>0</v>
      </c>
      <c r="N23" s="56">
        <f>SUM(N10:N22)</f>
        <v>31185000</v>
      </c>
      <c r="O23" s="56">
        <f>SUM(O10:O22)</f>
        <v>43765000</v>
      </c>
      <c r="Q23" s="56">
        <f>SUM(Q10:Q22)</f>
        <v>11447000</v>
      </c>
      <c r="R23" s="56">
        <f>SUM(R10:R22)</f>
        <v>0</v>
      </c>
      <c r="S23" s="56">
        <f>SUM(S10:S22)</f>
        <v>0</v>
      </c>
      <c r="T23" s="56">
        <f>SUM(T10:T22)</f>
        <v>11447000</v>
      </c>
      <c r="U23" s="362"/>
      <c r="V23" s="56">
        <f>SUM(V10:V22)</f>
        <v>4301000</v>
      </c>
      <c r="W23" s="56">
        <f>SUM(W10:W22)</f>
        <v>0</v>
      </c>
      <c r="X23" s="56">
        <f>SUM(X10:X22)</f>
        <v>0</v>
      </c>
      <c r="Y23" s="56">
        <f>SUM(Y10:Y22)</f>
        <v>4301000</v>
      </c>
      <c r="Z23" s="362"/>
      <c r="AA23" s="56">
        <f>SUM(AA10:AA22)</f>
        <v>15748000</v>
      </c>
      <c r="AC23" s="56">
        <f>SUM(AC10:AC22)</f>
        <v>51760000</v>
      </c>
      <c r="AD23" s="56">
        <f>SUM(AD10:AD22)</f>
        <v>0</v>
      </c>
      <c r="AE23" s="56">
        <f>SUM(AE10:AE22)</f>
        <v>0</v>
      </c>
      <c r="AF23" s="56">
        <f>SUM(AF10:AF22)</f>
        <v>51760000</v>
      </c>
      <c r="AG23" s="362"/>
      <c r="AH23" s="56">
        <f>SUM(AH10:AH22)</f>
        <v>78410000</v>
      </c>
      <c r="AI23" s="56">
        <f>SUM(AI10:AI22)</f>
        <v>0</v>
      </c>
      <c r="AJ23" s="56">
        <f>SUM(AJ10:AJ22)</f>
        <v>0</v>
      </c>
      <c r="AK23" s="56">
        <f>SUM(AK10:AK22)</f>
        <v>78410000</v>
      </c>
      <c r="AL23" s="56">
        <f>SUM(AL10:AL22)</f>
        <v>130170000</v>
      </c>
    </row>
    <row r="24" spans="1:38" s="29" customFormat="1" ht="12.75" customHeight="1">
      <c r="A24" s="25" t="s">
        <v>419</v>
      </c>
      <c r="B24" s="32" t="s">
        <v>420</v>
      </c>
      <c r="C24" s="30" t="s">
        <v>421</v>
      </c>
      <c r="D24" s="28">
        <f>O24+AA24+AL24</f>
        <v>4320000</v>
      </c>
      <c r="E24" s="99"/>
      <c r="F24" s="28">
        <f>'Összesített ktgvetés'!H104</f>
        <v>4320000</v>
      </c>
      <c r="G24" s="28"/>
      <c r="H24" s="28"/>
      <c r="I24" s="349">
        <f>SUM(F24:H24)</f>
        <v>4320000</v>
      </c>
      <c r="J24" s="120"/>
      <c r="K24" s="28"/>
      <c r="L24" s="28"/>
      <c r="M24" s="28"/>
      <c r="N24" s="349">
        <f>SUM(K24:M24)</f>
        <v>0</v>
      </c>
      <c r="O24" s="373">
        <f>I24+N24</f>
        <v>4320000</v>
      </c>
      <c r="P24" s="99"/>
      <c r="Q24" s="28"/>
      <c r="R24" s="28"/>
      <c r="S24" s="28"/>
      <c r="T24" s="349">
        <f>SUM(Q24:S24)</f>
        <v>0</v>
      </c>
      <c r="U24" s="120"/>
      <c r="V24" s="28"/>
      <c r="W24" s="28"/>
      <c r="X24" s="28"/>
      <c r="Y24" s="349">
        <f>SUM(V24:X24)</f>
        <v>0</v>
      </c>
      <c r="Z24" s="120"/>
      <c r="AA24" s="373">
        <f t="shared" si="6"/>
        <v>0</v>
      </c>
      <c r="AB24" s="99"/>
      <c r="AC24" s="28">
        <v>0</v>
      </c>
      <c r="AD24" s="28"/>
      <c r="AE24" s="28"/>
      <c r="AF24" s="349">
        <f>SUM(AC24:AE24)</f>
        <v>0</v>
      </c>
      <c r="AG24" s="120"/>
      <c r="AH24" s="28">
        <v>0</v>
      </c>
      <c r="AI24" s="28"/>
      <c r="AJ24" s="28"/>
      <c r="AK24" s="349">
        <f>SUM(AH24:AJ24)</f>
        <v>0</v>
      </c>
      <c r="AL24" s="373">
        <f>AF24+AK24</f>
        <v>0</v>
      </c>
    </row>
    <row r="25" spans="1:38" s="29" customFormat="1" ht="13.5" customHeight="1">
      <c r="A25" s="25" t="s">
        <v>422</v>
      </c>
      <c r="B25" s="32" t="s">
        <v>423</v>
      </c>
      <c r="C25" s="30" t="s">
        <v>424</v>
      </c>
      <c r="D25" s="28">
        <f>O25+AA25+AL25</f>
        <v>13226000</v>
      </c>
      <c r="E25" s="99"/>
      <c r="F25" s="28">
        <f>'Összesített ktgvetés'!H106</f>
        <v>2800000</v>
      </c>
      <c r="G25" s="28"/>
      <c r="H25" s="28"/>
      <c r="I25" s="349">
        <f>SUM(F25:H25)</f>
        <v>2800000</v>
      </c>
      <c r="J25" s="120"/>
      <c r="K25" s="28"/>
      <c r="L25" s="28"/>
      <c r="M25" s="28"/>
      <c r="N25" s="349">
        <f>SUM(K25:M25)</f>
        <v>0</v>
      </c>
      <c r="O25" s="373">
        <f>I25+N25</f>
        <v>2800000</v>
      </c>
      <c r="P25" s="99"/>
      <c r="Q25" s="28">
        <f>'Összesített ktgvetés'!O105</f>
        <v>84000</v>
      </c>
      <c r="R25" s="28"/>
      <c r="S25" s="28"/>
      <c r="T25" s="349">
        <f>SUM(Q25:S25)</f>
        <v>84000</v>
      </c>
      <c r="U25" s="120"/>
      <c r="V25" s="28">
        <f>'Összesített ktgvetés'!U105</f>
        <v>0</v>
      </c>
      <c r="W25" s="28"/>
      <c r="X25" s="28"/>
      <c r="Y25" s="349">
        <f>SUM(V25:X25)</f>
        <v>0</v>
      </c>
      <c r="Z25" s="120"/>
      <c r="AA25" s="373">
        <f t="shared" si="6"/>
        <v>84000</v>
      </c>
      <c r="AB25" s="99"/>
      <c r="AC25" s="28">
        <f>'Összesített ktgvetés'!Z105</f>
        <v>5452000</v>
      </c>
      <c r="AD25" s="28"/>
      <c r="AE25" s="28"/>
      <c r="AF25" s="349">
        <f>SUM(AC25:AE25)</f>
        <v>5452000</v>
      </c>
      <c r="AG25" s="120"/>
      <c r="AH25" s="28">
        <f>'Összesített ktgvetés'!AD105</f>
        <v>4890000</v>
      </c>
      <c r="AI25" s="28"/>
      <c r="AJ25" s="28"/>
      <c r="AK25" s="349">
        <f>SUM(AH25:AJ25)</f>
        <v>4890000</v>
      </c>
      <c r="AL25" s="373">
        <f>AF25+AK25</f>
        <v>10342000</v>
      </c>
    </row>
    <row r="26" spans="1:38" s="29" customFormat="1" ht="12.75" customHeight="1">
      <c r="A26" s="25" t="s">
        <v>425</v>
      </c>
      <c r="B26" s="34" t="s">
        <v>426</v>
      </c>
      <c r="C26" s="30" t="s">
        <v>427</v>
      </c>
      <c r="D26" s="28">
        <f>O26+AA26+AL26</f>
        <v>2216000</v>
      </c>
      <c r="E26" s="99"/>
      <c r="F26" s="28">
        <f>'Összesített ktgvetés'!H112+'Összesített ktgvetés'!H111</f>
        <v>720000</v>
      </c>
      <c r="G26" s="28"/>
      <c r="H26" s="28"/>
      <c r="I26" s="349">
        <f>SUM(F26:H26)</f>
        <v>720000</v>
      </c>
      <c r="J26" s="120"/>
      <c r="K26" s="28">
        <f>'Összesített ktgvetés'!L111</f>
        <v>300000</v>
      </c>
      <c r="L26" s="28"/>
      <c r="M26" s="28"/>
      <c r="N26" s="349">
        <f>SUM(K26:M26)</f>
        <v>300000</v>
      </c>
      <c r="O26" s="373">
        <f>I26+N26</f>
        <v>1020000</v>
      </c>
      <c r="P26" s="99"/>
      <c r="Q26" s="28"/>
      <c r="R26" s="28"/>
      <c r="S26" s="28"/>
      <c r="T26" s="349">
        <f>SUM(Q26:S26)</f>
        <v>0</v>
      </c>
      <c r="U26" s="120"/>
      <c r="V26" s="28"/>
      <c r="W26" s="28"/>
      <c r="X26" s="28"/>
      <c r="Y26" s="349">
        <f>SUM(V26:X26)</f>
        <v>0</v>
      </c>
      <c r="Z26" s="120"/>
      <c r="AA26" s="373">
        <f t="shared" si="6"/>
        <v>0</v>
      </c>
      <c r="AB26" s="99"/>
      <c r="AC26" s="28">
        <f>'Összesített ktgvetés'!X111+'Összesített ktgvetés'!X112</f>
        <v>1196000</v>
      </c>
      <c r="AD26" s="28"/>
      <c r="AE26" s="28"/>
      <c r="AF26" s="349">
        <f>SUM(AC26:AE26)</f>
        <v>1196000</v>
      </c>
      <c r="AG26" s="120"/>
      <c r="AH26" s="28">
        <f>'Összesített ktgvetés'!AD112</f>
        <v>0</v>
      </c>
      <c r="AI26" s="28"/>
      <c r="AJ26" s="28"/>
      <c r="AK26" s="349">
        <f>SUM(AH26:AJ26)</f>
        <v>0</v>
      </c>
      <c r="AL26" s="373">
        <f>AF26+AK26</f>
        <v>1196000</v>
      </c>
    </row>
    <row r="27" spans="1:38" s="98" customFormat="1" ht="12.75" customHeight="1">
      <c r="A27" s="110" t="s">
        <v>428</v>
      </c>
      <c r="B27" s="96" t="s">
        <v>429</v>
      </c>
      <c r="C27" s="112" t="s">
        <v>430</v>
      </c>
      <c r="D27" s="56">
        <f>SUM(D24:D26)</f>
        <v>19762000</v>
      </c>
      <c r="F27" s="56">
        <f>SUM(F24:F26)</f>
        <v>7840000</v>
      </c>
      <c r="G27" s="56">
        <f>SUM(G24:G26)</f>
        <v>0</v>
      </c>
      <c r="H27" s="56">
        <f>SUM(H24:H26)</f>
        <v>0</v>
      </c>
      <c r="I27" s="56">
        <f>SUM(I24:I26)</f>
        <v>7840000</v>
      </c>
      <c r="J27" s="362"/>
      <c r="K27" s="56">
        <f>SUM(K24:K26)</f>
        <v>300000</v>
      </c>
      <c r="L27" s="56">
        <f>SUM(L24:L26)</f>
        <v>0</v>
      </c>
      <c r="M27" s="56">
        <f>SUM(M24:M26)</f>
        <v>0</v>
      </c>
      <c r="N27" s="56">
        <f>SUM(N24:N26)</f>
        <v>300000</v>
      </c>
      <c r="O27" s="56">
        <f>SUM(O24:O26)</f>
        <v>8140000</v>
      </c>
      <c r="Q27" s="56">
        <f>SUM(Q24:Q26)</f>
        <v>84000</v>
      </c>
      <c r="R27" s="56">
        <f>SUM(R24:R26)</f>
        <v>0</v>
      </c>
      <c r="S27" s="56">
        <f>SUM(S24:S26)</f>
        <v>0</v>
      </c>
      <c r="T27" s="56">
        <f>SUM(T24:T26)</f>
        <v>84000</v>
      </c>
      <c r="U27" s="362"/>
      <c r="V27" s="56">
        <f>SUM(V24:V26)</f>
        <v>0</v>
      </c>
      <c r="W27" s="56">
        <f>SUM(W24:W26)</f>
        <v>0</v>
      </c>
      <c r="X27" s="56">
        <f>SUM(X24:X26)</f>
        <v>0</v>
      </c>
      <c r="Y27" s="56">
        <f>SUM(Y24:Y26)</f>
        <v>0</v>
      </c>
      <c r="Z27" s="362"/>
      <c r="AA27" s="56">
        <f>SUM(AA24:AA26)</f>
        <v>84000</v>
      </c>
      <c r="AC27" s="56">
        <f>SUM(AC24:AC26)</f>
        <v>6648000</v>
      </c>
      <c r="AD27" s="56">
        <f>SUM(AD24:AD26)</f>
        <v>0</v>
      </c>
      <c r="AE27" s="56">
        <f>SUM(AE24:AE26)</f>
        <v>0</v>
      </c>
      <c r="AF27" s="56">
        <f>SUM(AF24:AF26)</f>
        <v>6648000</v>
      </c>
      <c r="AG27" s="362"/>
      <c r="AH27" s="56">
        <f>SUM(AH24:AH26)</f>
        <v>4890000</v>
      </c>
      <c r="AI27" s="56">
        <f>SUM(AI24:AI26)</f>
        <v>0</v>
      </c>
      <c r="AJ27" s="56">
        <f>SUM(AJ24:AJ26)</f>
        <v>0</v>
      </c>
      <c r="AK27" s="56">
        <f>SUM(AK24:AK26)</f>
        <v>4890000</v>
      </c>
      <c r="AL27" s="56">
        <f>SUM(AL24:AL26)</f>
        <v>11538000</v>
      </c>
    </row>
    <row r="28" spans="1:38" ht="12.75" customHeight="1">
      <c r="A28" s="35" t="s">
        <v>431</v>
      </c>
      <c r="B28" s="36" t="s">
        <v>432</v>
      </c>
      <c r="C28" s="37" t="s">
        <v>433</v>
      </c>
      <c r="D28" s="101">
        <f>SUM(D27,D23)</f>
        <v>209445000</v>
      </c>
      <c r="F28" s="101">
        <f>SUM(F27,F23)</f>
        <v>20420000</v>
      </c>
      <c r="G28" s="101">
        <f>SUM(G27,G23)</f>
        <v>0</v>
      </c>
      <c r="H28" s="101">
        <f>SUM(H27,H23)</f>
        <v>0</v>
      </c>
      <c r="I28" s="101">
        <f>SUM(I27,I23)</f>
        <v>20420000</v>
      </c>
      <c r="J28" s="366"/>
      <c r="K28" s="101">
        <f>SUM(K27,K23)</f>
        <v>31485000</v>
      </c>
      <c r="L28" s="101">
        <f>SUM(L27,L23)</f>
        <v>0</v>
      </c>
      <c r="M28" s="101">
        <f>SUM(M27,M23)</f>
        <v>0</v>
      </c>
      <c r="N28" s="101">
        <f>SUM(N27,N23)</f>
        <v>31485000</v>
      </c>
      <c r="O28" s="101">
        <f>SUM(O27,O23)</f>
        <v>51905000</v>
      </c>
      <c r="Q28" s="101">
        <f>SUM(Q27,Q23)</f>
        <v>11531000</v>
      </c>
      <c r="R28" s="101">
        <f>SUM(R27,R23)</f>
        <v>0</v>
      </c>
      <c r="S28" s="101">
        <f>SUM(S27,S23)</f>
        <v>0</v>
      </c>
      <c r="T28" s="101">
        <f>SUM(T27,T23)</f>
        <v>11531000</v>
      </c>
      <c r="U28" s="366"/>
      <c r="V28" s="101">
        <f>SUM(V27,V23)</f>
        <v>4301000</v>
      </c>
      <c r="W28" s="101">
        <f>SUM(W27,W23)</f>
        <v>0</v>
      </c>
      <c r="X28" s="101">
        <f>SUM(X27,X23)</f>
        <v>0</v>
      </c>
      <c r="Y28" s="101">
        <f>SUM(Y27,Y23)</f>
        <v>4301000</v>
      </c>
      <c r="Z28" s="366"/>
      <c r="AA28" s="101">
        <f>SUM(AA27,AA23)</f>
        <v>15832000</v>
      </c>
      <c r="AC28" s="101">
        <f>SUM(AC27,AC23)</f>
        <v>58408000</v>
      </c>
      <c r="AD28" s="101">
        <f>SUM(AD27,AD23)</f>
        <v>0</v>
      </c>
      <c r="AE28" s="101">
        <f>SUM(AE27,AE23)</f>
        <v>0</v>
      </c>
      <c r="AF28" s="101">
        <f>SUM(AF27,AF23)</f>
        <v>58408000</v>
      </c>
      <c r="AG28" s="366"/>
      <c r="AH28" s="101">
        <f>SUM(AH27,AH23)</f>
        <v>83300000</v>
      </c>
      <c r="AI28" s="101">
        <f>SUM(AI27,AI23)</f>
        <v>0</v>
      </c>
      <c r="AJ28" s="101">
        <f>SUM(AJ27,AJ23)</f>
        <v>0</v>
      </c>
      <c r="AK28" s="101">
        <f>SUM(AK27,AK23)</f>
        <v>83300000</v>
      </c>
      <c r="AL28" s="101">
        <f>SUM(AL27,AL23)</f>
        <v>141708000</v>
      </c>
    </row>
    <row r="29" spans="1:38" s="40" customFormat="1" ht="12.75" customHeight="1">
      <c r="A29" s="35" t="s">
        <v>434</v>
      </c>
      <c r="B29" s="39" t="s">
        <v>435</v>
      </c>
      <c r="C29" s="37" t="s">
        <v>436</v>
      </c>
      <c r="D29" s="117">
        <f>O29+AA29+AL29</f>
        <v>38673000</v>
      </c>
      <c r="E29" s="107"/>
      <c r="F29" s="117">
        <f>'Összesített ktgvetés'!F119</f>
        <v>4131000</v>
      </c>
      <c r="G29" s="117">
        <v>0</v>
      </c>
      <c r="H29" s="117">
        <v>0</v>
      </c>
      <c r="I29" s="117">
        <f>SUM(F29:H29)</f>
        <v>4131000</v>
      </c>
      <c r="J29" s="367"/>
      <c r="K29" s="117">
        <f>'Összesített ktgvetés'!L119</f>
        <v>5810000</v>
      </c>
      <c r="L29" s="117">
        <v>0</v>
      </c>
      <c r="M29" s="117">
        <v>0</v>
      </c>
      <c r="N29" s="117">
        <f>SUM(K29:M29)</f>
        <v>5810000</v>
      </c>
      <c r="O29" s="101">
        <f>I29+N29</f>
        <v>9941000</v>
      </c>
      <c r="P29" s="107"/>
      <c r="Q29" s="117">
        <f>'Összesített ktgvetés'!Q119</f>
        <v>2082000</v>
      </c>
      <c r="R29" s="117">
        <v>0</v>
      </c>
      <c r="S29" s="117">
        <v>0</v>
      </c>
      <c r="T29" s="117">
        <f>SUM(Q29:S29)</f>
        <v>2082000</v>
      </c>
      <c r="U29" s="367"/>
      <c r="V29" s="117">
        <f>'Összesített ktgvetés'!S119</f>
        <v>837000</v>
      </c>
      <c r="W29" s="117">
        <v>0</v>
      </c>
      <c r="X29" s="117">
        <v>0</v>
      </c>
      <c r="Y29" s="117">
        <f>SUM(V29:X29)</f>
        <v>837000</v>
      </c>
      <c r="Z29" s="367"/>
      <c r="AA29" s="101">
        <f>T29+Y29</f>
        <v>2919000</v>
      </c>
      <c r="AB29" s="107"/>
      <c r="AC29" s="117">
        <f>'Összesített ktgvetés'!Z119</f>
        <v>11317000</v>
      </c>
      <c r="AD29" s="117">
        <v>0</v>
      </c>
      <c r="AE29" s="117">
        <v>0</v>
      </c>
      <c r="AF29" s="117">
        <f>SUM(AC29:AE29)</f>
        <v>11317000</v>
      </c>
      <c r="AG29" s="367"/>
      <c r="AH29" s="117">
        <f>'Összesített ktgvetés'!AD119</f>
        <v>14496000</v>
      </c>
      <c r="AI29" s="117">
        <v>0</v>
      </c>
      <c r="AJ29" s="117">
        <v>0</v>
      </c>
      <c r="AK29" s="117">
        <f>SUM(AH29:AJ29)</f>
        <v>14496000</v>
      </c>
      <c r="AL29" s="101">
        <f>AF29+AK29</f>
        <v>25813000</v>
      </c>
    </row>
    <row r="30" spans="1:38" s="29" customFormat="1" ht="12.75" customHeight="1">
      <c r="A30" s="25" t="s">
        <v>437</v>
      </c>
      <c r="B30" s="32" t="s">
        <v>438</v>
      </c>
      <c r="C30" s="30" t="s">
        <v>439</v>
      </c>
      <c r="D30" s="28">
        <f>O30+AA30+AL30</f>
        <v>751000</v>
      </c>
      <c r="E30" s="99"/>
      <c r="F30" s="28">
        <f>'Összesített ktgvetés'!F122</f>
        <v>0</v>
      </c>
      <c r="G30" s="28"/>
      <c r="H30" s="28"/>
      <c r="I30" s="349">
        <f aca="true" t="shared" si="10" ref="I30:I92">SUM(F30:H30)</f>
        <v>0</v>
      </c>
      <c r="J30" s="120"/>
      <c r="K30" s="28">
        <f>'Összesített ktgvetés'!L122</f>
        <v>41000</v>
      </c>
      <c r="L30" s="28"/>
      <c r="M30" s="28"/>
      <c r="N30" s="349">
        <f aca="true" t="shared" si="11" ref="N30:N92">SUM(K30:M30)</f>
        <v>41000</v>
      </c>
      <c r="O30" s="373">
        <f>I30+N30</f>
        <v>41000</v>
      </c>
      <c r="P30" s="99"/>
      <c r="Q30" s="28">
        <f>'Összesített ktgvetés'!Q122</f>
        <v>0</v>
      </c>
      <c r="R30" s="28"/>
      <c r="S30" s="28"/>
      <c r="T30" s="349">
        <f aca="true" t="shared" si="12" ref="T30:T92">SUM(Q30:S30)</f>
        <v>0</v>
      </c>
      <c r="U30" s="120"/>
      <c r="V30" s="28">
        <f>'Összesített ktgvetés'!U122</f>
        <v>0</v>
      </c>
      <c r="W30" s="28"/>
      <c r="X30" s="28"/>
      <c r="Y30" s="349">
        <f>SUM(V30:X30)</f>
        <v>0</v>
      </c>
      <c r="Z30" s="120"/>
      <c r="AA30" s="373">
        <f>T30+Y30</f>
        <v>0</v>
      </c>
      <c r="AB30" s="99"/>
      <c r="AC30" s="28">
        <f>'Összesített ktgvetés'!Z122</f>
        <v>700000</v>
      </c>
      <c r="AD30" s="28"/>
      <c r="AE30" s="28"/>
      <c r="AF30" s="349">
        <f>SUM(AC30:AE30)</f>
        <v>700000</v>
      </c>
      <c r="AG30" s="120"/>
      <c r="AH30" s="28">
        <f>'Összesített ktgvetés'!AD122</f>
        <v>10000</v>
      </c>
      <c r="AI30" s="28"/>
      <c r="AJ30" s="28"/>
      <c r="AK30" s="349">
        <f>SUM(AH30:AJ30)</f>
        <v>10000</v>
      </c>
      <c r="AL30" s="373">
        <f>AF30+AK30</f>
        <v>710000</v>
      </c>
    </row>
    <row r="31" spans="1:38" s="29" customFormat="1" ht="12.75" customHeight="1">
      <c r="A31" s="25" t="s">
        <v>440</v>
      </c>
      <c r="B31" s="32" t="s">
        <v>441</v>
      </c>
      <c r="C31" s="30" t="s">
        <v>442</v>
      </c>
      <c r="D31" s="28">
        <f>O31+AA31+AL31</f>
        <v>2850000</v>
      </c>
      <c r="E31" s="99"/>
      <c r="F31" s="28">
        <f>'Összesített ktgvetés'!F127</f>
        <v>150000</v>
      </c>
      <c r="G31" s="28"/>
      <c r="H31" s="28"/>
      <c r="I31" s="349">
        <f t="shared" si="10"/>
        <v>150000</v>
      </c>
      <c r="J31" s="120"/>
      <c r="K31" s="28">
        <f>'Összesített ktgvetés'!L127</f>
        <v>550000</v>
      </c>
      <c r="L31" s="28"/>
      <c r="M31" s="28"/>
      <c r="N31" s="349">
        <f t="shared" si="11"/>
        <v>550000</v>
      </c>
      <c r="O31" s="373">
        <f>I31+N31</f>
        <v>700000</v>
      </c>
      <c r="P31" s="99"/>
      <c r="Q31" s="28">
        <f>'Összesített ktgvetés'!Q127</f>
        <v>100000</v>
      </c>
      <c r="R31" s="28"/>
      <c r="S31" s="28"/>
      <c r="T31" s="349">
        <f t="shared" si="12"/>
        <v>100000</v>
      </c>
      <c r="U31" s="120"/>
      <c r="V31" s="28">
        <f>'Összesített ktgvetés'!U127</f>
        <v>300000</v>
      </c>
      <c r="W31" s="28"/>
      <c r="X31" s="28"/>
      <c r="Y31" s="349">
        <f>SUM(V31:X31)</f>
        <v>300000</v>
      </c>
      <c r="Z31" s="120"/>
      <c r="AA31" s="373">
        <f>T31+Y31</f>
        <v>400000</v>
      </c>
      <c r="AB31" s="99"/>
      <c r="AC31" s="28">
        <f>'Összesített ktgvetés'!Z127</f>
        <v>850000</v>
      </c>
      <c r="AD31" s="28"/>
      <c r="AE31" s="28"/>
      <c r="AF31" s="349">
        <f>SUM(AC31:AE31)</f>
        <v>850000</v>
      </c>
      <c r="AG31" s="120"/>
      <c r="AH31" s="28">
        <f>'Összesített ktgvetés'!AD127</f>
        <v>900000</v>
      </c>
      <c r="AI31" s="28"/>
      <c r="AJ31" s="28"/>
      <c r="AK31" s="349">
        <f>SUM(AH31:AJ31)</f>
        <v>900000</v>
      </c>
      <c r="AL31" s="373">
        <f>AF31+AK31</f>
        <v>1750000</v>
      </c>
    </row>
    <row r="32" spans="1:38" s="29" customFormat="1" ht="12.75" customHeight="1">
      <c r="A32" s="25" t="s">
        <v>443</v>
      </c>
      <c r="B32" s="32" t="s">
        <v>444</v>
      </c>
      <c r="C32" s="30" t="s">
        <v>445</v>
      </c>
      <c r="D32" s="28">
        <f>O32+AA32+AL32</f>
        <v>0</v>
      </c>
      <c r="E32" s="99"/>
      <c r="F32" s="28">
        <v>0</v>
      </c>
      <c r="G32" s="28"/>
      <c r="H32" s="28"/>
      <c r="I32" s="349">
        <f t="shared" si="10"/>
        <v>0</v>
      </c>
      <c r="J32" s="120"/>
      <c r="K32" s="28">
        <v>0</v>
      </c>
      <c r="L32" s="28"/>
      <c r="M32" s="28"/>
      <c r="N32" s="349">
        <f t="shared" si="11"/>
        <v>0</v>
      </c>
      <c r="O32" s="373">
        <f>I32+N32</f>
        <v>0</v>
      </c>
      <c r="P32" s="99"/>
      <c r="Q32" s="28">
        <v>0</v>
      </c>
      <c r="R32" s="28"/>
      <c r="S32" s="28"/>
      <c r="T32" s="349">
        <f t="shared" si="12"/>
        <v>0</v>
      </c>
      <c r="U32" s="120"/>
      <c r="V32" s="28">
        <v>0</v>
      </c>
      <c r="W32" s="28"/>
      <c r="X32" s="28"/>
      <c r="Y32" s="349">
        <f>SUM(V32:X32)</f>
        <v>0</v>
      </c>
      <c r="Z32" s="120"/>
      <c r="AA32" s="373">
        <f>T32+Y32</f>
        <v>0</v>
      </c>
      <c r="AB32" s="99"/>
      <c r="AC32" s="28">
        <v>0</v>
      </c>
      <c r="AD32" s="28"/>
      <c r="AE32" s="28"/>
      <c r="AF32" s="349">
        <f>SUM(AC32:AE32)</f>
        <v>0</v>
      </c>
      <c r="AG32" s="120"/>
      <c r="AH32" s="28">
        <v>0</v>
      </c>
      <c r="AI32" s="28"/>
      <c r="AJ32" s="28"/>
      <c r="AK32" s="349">
        <f>SUM(AH32:AJ32)</f>
        <v>0</v>
      </c>
      <c r="AL32" s="373">
        <f>AF32+AK32</f>
        <v>0</v>
      </c>
    </row>
    <row r="33" spans="1:38" s="98" customFormat="1" ht="12.75" customHeight="1">
      <c r="A33" s="110" t="s">
        <v>446</v>
      </c>
      <c r="B33" s="96" t="s">
        <v>447</v>
      </c>
      <c r="C33" s="112" t="s">
        <v>448</v>
      </c>
      <c r="D33" s="56">
        <f>SUM(D30:D32)</f>
        <v>3601000</v>
      </c>
      <c r="F33" s="56">
        <f>SUM(F30:F32)</f>
        <v>150000</v>
      </c>
      <c r="G33" s="56">
        <f>SUM(G30:G32)</f>
        <v>0</v>
      </c>
      <c r="H33" s="56">
        <f>SUM(H30:H32)</f>
        <v>0</v>
      </c>
      <c r="I33" s="56">
        <f>SUM(I30:I32)</f>
        <v>150000</v>
      </c>
      <c r="J33" s="362"/>
      <c r="K33" s="56">
        <f>SUM(K30:K32)</f>
        <v>591000</v>
      </c>
      <c r="L33" s="56">
        <f>SUM(L30:L32)</f>
        <v>0</v>
      </c>
      <c r="M33" s="56">
        <f>SUM(M30:M32)</f>
        <v>0</v>
      </c>
      <c r="N33" s="56">
        <f>SUM(N30:N32)</f>
        <v>591000</v>
      </c>
      <c r="O33" s="56">
        <f>SUM(O30:O32)</f>
        <v>741000</v>
      </c>
      <c r="Q33" s="56">
        <f>SUM(Q30:Q32)</f>
        <v>100000</v>
      </c>
      <c r="R33" s="56">
        <f>SUM(R30:R32)</f>
        <v>0</v>
      </c>
      <c r="S33" s="56">
        <f>SUM(S30:S32)</f>
        <v>0</v>
      </c>
      <c r="T33" s="56">
        <f>SUM(T30:T32)</f>
        <v>100000</v>
      </c>
      <c r="U33" s="362"/>
      <c r="V33" s="56">
        <f>SUM(V30:V32)</f>
        <v>300000</v>
      </c>
      <c r="W33" s="56">
        <f>SUM(W30:W32)</f>
        <v>0</v>
      </c>
      <c r="X33" s="56">
        <f>SUM(X30:X32)</f>
        <v>0</v>
      </c>
      <c r="Y33" s="56">
        <f>SUM(Y30:Y32)</f>
        <v>300000</v>
      </c>
      <c r="Z33" s="362"/>
      <c r="AA33" s="56">
        <f>SUM(AA30:AA32)</f>
        <v>400000</v>
      </c>
      <c r="AC33" s="56">
        <f>SUM(AC30:AC32)</f>
        <v>1550000</v>
      </c>
      <c r="AD33" s="56">
        <f>SUM(AD30:AD32)</f>
        <v>0</v>
      </c>
      <c r="AE33" s="56">
        <f>SUM(AE30:AE32)</f>
        <v>0</v>
      </c>
      <c r="AF33" s="56">
        <f>SUM(AF30:AF32)</f>
        <v>1550000</v>
      </c>
      <c r="AG33" s="362"/>
      <c r="AH33" s="56">
        <f>SUM(AH30:AH32)</f>
        <v>910000</v>
      </c>
      <c r="AI33" s="56">
        <f>SUM(AI30:AI32)</f>
        <v>0</v>
      </c>
      <c r="AJ33" s="56">
        <f>SUM(AJ30:AJ32)</f>
        <v>0</v>
      </c>
      <c r="AK33" s="56">
        <f>SUM(AK30:AK32)</f>
        <v>910000</v>
      </c>
      <c r="AL33" s="56">
        <f>SUM(AL30:AL32)</f>
        <v>2460000</v>
      </c>
    </row>
    <row r="34" spans="1:38" s="29" customFormat="1" ht="12.75" customHeight="1">
      <c r="A34" s="25" t="s">
        <v>449</v>
      </c>
      <c r="B34" s="32" t="s">
        <v>450</v>
      </c>
      <c r="C34" s="30" t="s">
        <v>451</v>
      </c>
      <c r="D34" s="28">
        <f>O34+AA34+AL34</f>
        <v>2051000</v>
      </c>
      <c r="E34" s="99"/>
      <c r="F34" s="28">
        <f>'Összesített ktgvetés'!F134</f>
        <v>0</v>
      </c>
      <c r="G34" s="28"/>
      <c r="H34" s="28"/>
      <c r="I34" s="349">
        <f t="shared" si="10"/>
        <v>0</v>
      </c>
      <c r="J34" s="120"/>
      <c r="K34" s="28">
        <f>'Összesített ktgvetés'!L134</f>
        <v>696000</v>
      </c>
      <c r="L34" s="28"/>
      <c r="M34" s="28"/>
      <c r="N34" s="349">
        <f t="shared" si="11"/>
        <v>696000</v>
      </c>
      <c r="O34" s="373">
        <f>I34+N34</f>
        <v>696000</v>
      </c>
      <c r="P34" s="99"/>
      <c r="Q34" s="28">
        <f>'Összesített ktgvetés'!O134</f>
        <v>315000</v>
      </c>
      <c r="R34" s="28"/>
      <c r="S34" s="28"/>
      <c r="T34" s="349">
        <f t="shared" si="12"/>
        <v>315000</v>
      </c>
      <c r="U34" s="120"/>
      <c r="V34" s="28">
        <f>'Összesített ktgvetés'!U134</f>
        <v>0</v>
      </c>
      <c r="W34" s="28"/>
      <c r="X34" s="28"/>
      <c r="Y34" s="349">
        <f>SUM(V34:X34)</f>
        <v>0</v>
      </c>
      <c r="Z34" s="120"/>
      <c r="AA34" s="373">
        <f>T34+Y34</f>
        <v>315000</v>
      </c>
      <c r="AB34" s="99"/>
      <c r="AC34" s="28">
        <f>'Összesített ktgvetés'!Z134</f>
        <v>740000</v>
      </c>
      <c r="AD34" s="28"/>
      <c r="AE34" s="28"/>
      <c r="AF34" s="349">
        <f>SUM(AC34:AE34)</f>
        <v>740000</v>
      </c>
      <c r="AG34" s="120"/>
      <c r="AH34" s="28">
        <f>'Összesített ktgvetés'!AD134</f>
        <v>300000</v>
      </c>
      <c r="AI34" s="28"/>
      <c r="AJ34" s="28"/>
      <c r="AK34" s="349">
        <f>SUM(AH34:AJ34)</f>
        <v>300000</v>
      </c>
      <c r="AL34" s="373">
        <f>AF34+AK34</f>
        <v>1040000</v>
      </c>
    </row>
    <row r="35" spans="1:38" s="29" customFormat="1" ht="12.75" customHeight="1">
      <c r="A35" s="25" t="s">
        <v>452</v>
      </c>
      <c r="B35" s="32" t="s">
        <v>16</v>
      </c>
      <c r="C35" s="30" t="s">
        <v>453</v>
      </c>
      <c r="D35" s="28">
        <f>O35+AA35+AL35</f>
        <v>2385000</v>
      </c>
      <c r="E35" s="99"/>
      <c r="F35" s="28">
        <f>'Összesített ktgvetés'!H139</f>
        <v>1680000</v>
      </c>
      <c r="G35" s="28"/>
      <c r="H35" s="28"/>
      <c r="I35" s="349">
        <f t="shared" si="10"/>
        <v>1680000</v>
      </c>
      <c r="J35" s="120"/>
      <c r="K35" s="28">
        <f>'Összesített ktgvetés'!L139</f>
        <v>0</v>
      </c>
      <c r="L35" s="28"/>
      <c r="M35" s="28"/>
      <c r="N35" s="349">
        <f t="shared" si="11"/>
        <v>0</v>
      </c>
      <c r="O35" s="373">
        <f>I35+N35</f>
        <v>1680000</v>
      </c>
      <c r="P35" s="99"/>
      <c r="Q35" s="28">
        <f>'Összesített ktgvetés'!O139</f>
        <v>95000</v>
      </c>
      <c r="R35" s="28">
        <f>'Összesített ktgvetés'!P139</f>
        <v>0</v>
      </c>
      <c r="S35" s="28"/>
      <c r="T35" s="349">
        <f t="shared" si="12"/>
        <v>95000</v>
      </c>
      <c r="U35" s="120"/>
      <c r="V35" s="28">
        <f>'Összesített ktgvetés'!U139</f>
        <v>0</v>
      </c>
      <c r="W35" s="28"/>
      <c r="X35" s="28"/>
      <c r="Y35" s="349">
        <f>SUM(V35:X35)</f>
        <v>0</v>
      </c>
      <c r="Z35" s="120"/>
      <c r="AA35" s="373">
        <f>T35+Y35</f>
        <v>95000</v>
      </c>
      <c r="AB35" s="99"/>
      <c r="AC35" s="28">
        <f>'Összesített ktgvetés'!Z139</f>
        <v>450000</v>
      </c>
      <c r="AD35" s="28"/>
      <c r="AE35" s="28"/>
      <c r="AF35" s="349">
        <f>SUM(AC35:AE35)</f>
        <v>450000</v>
      </c>
      <c r="AG35" s="120"/>
      <c r="AH35" s="28">
        <f>'Összesített ktgvetés'!AD139</f>
        <v>160000</v>
      </c>
      <c r="AI35" s="28"/>
      <c r="AJ35" s="28"/>
      <c r="AK35" s="349">
        <f>SUM(AH35:AJ35)</f>
        <v>160000</v>
      </c>
      <c r="AL35" s="373">
        <f>AF35+AK35</f>
        <v>610000</v>
      </c>
    </row>
    <row r="36" spans="1:38" s="98" customFormat="1" ht="12.75" customHeight="1">
      <c r="A36" s="110" t="s">
        <v>454</v>
      </c>
      <c r="B36" s="96" t="s">
        <v>455</v>
      </c>
      <c r="C36" s="112" t="s">
        <v>456</v>
      </c>
      <c r="D36" s="56">
        <f>SUM(D34:D35)</f>
        <v>4436000</v>
      </c>
      <c r="F36" s="56">
        <f>SUM(F34:F35)</f>
        <v>1680000</v>
      </c>
      <c r="G36" s="56">
        <f>SUM(G34:G35)</f>
        <v>0</v>
      </c>
      <c r="H36" s="56">
        <f>SUM(H34:H35)</f>
        <v>0</v>
      </c>
      <c r="I36" s="56">
        <f>SUM(I34:I35)</f>
        <v>1680000</v>
      </c>
      <c r="J36" s="362"/>
      <c r="K36" s="56">
        <f>SUM(K34:K35)</f>
        <v>696000</v>
      </c>
      <c r="L36" s="56">
        <f>SUM(L34:L35)</f>
        <v>0</v>
      </c>
      <c r="M36" s="56">
        <f>SUM(M34:M35)</f>
        <v>0</v>
      </c>
      <c r="N36" s="56">
        <f>SUM(N34:N35)</f>
        <v>696000</v>
      </c>
      <c r="O36" s="56">
        <f>SUM(O34:O35)</f>
        <v>2376000</v>
      </c>
      <c r="Q36" s="56">
        <f>SUM(Q34:Q35)</f>
        <v>410000</v>
      </c>
      <c r="R36" s="56">
        <f>SUM(R34:R35)</f>
        <v>0</v>
      </c>
      <c r="S36" s="56">
        <f>SUM(S34:S35)</f>
        <v>0</v>
      </c>
      <c r="T36" s="56">
        <f>SUM(T34:T35)</f>
        <v>410000</v>
      </c>
      <c r="U36" s="362"/>
      <c r="V36" s="56">
        <f>SUM(V34:V35)</f>
        <v>0</v>
      </c>
      <c r="W36" s="56">
        <f>SUM(W34:W35)</f>
        <v>0</v>
      </c>
      <c r="X36" s="56">
        <f>SUM(X34:X35)</f>
        <v>0</v>
      </c>
      <c r="Y36" s="56">
        <f>SUM(Y34:Y35)</f>
        <v>0</v>
      </c>
      <c r="Z36" s="362"/>
      <c r="AA36" s="56">
        <f>SUM(AA34:AA35)</f>
        <v>410000</v>
      </c>
      <c r="AC36" s="56">
        <f>SUM(AC34:AC35)</f>
        <v>1190000</v>
      </c>
      <c r="AD36" s="56">
        <f>SUM(AD34:AD35)</f>
        <v>0</v>
      </c>
      <c r="AE36" s="56">
        <f>SUM(AE34:AE35)</f>
        <v>0</v>
      </c>
      <c r="AF36" s="56">
        <f>SUM(AF34:AF35)</f>
        <v>1190000</v>
      </c>
      <c r="AG36" s="362"/>
      <c r="AH36" s="56">
        <f>SUM(AH34:AH35)</f>
        <v>460000</v>
      </c>
      <c r="AI36" s="56">
        <f>SUM(AI34:AI35)</f>
        <v>0</v>
      </c>
      <c r="AJ36" s="56">
        <f>SUM(AJ34:AJ35)</f>
        <v>0</v>
      </c>
      <c r="AK36" s="56">
        <f>SUM(AK34:AK35)</f>
        <v>460000</v>
      </c>
      <c r="AL36" s="56">
        <f>SUM(AL34:AL35)</f>
        <v>1650000</v>
      </c>
    </row>
    <row r="37" spans="1:38" s="29" customFormat="1" ht="12.75" customHeight="1">
      <c r="A37" s="25" t="s">
        <v>457</v>
      </c>
      <c r="B37" s="32" t="s">
        <v>458</v>
      </c>
      <c r="C37" s="30" t="s">
        <v>459</v>
      </c>
      <c r="D37" s="28">
        <f aca="true" t="shared" si="13" ref="D37:D43">O37+AA37+AL37</f>
        <v>8817000</v>
      </c>
      <c r="E37" s="99"/>
      <c r="F37" s="28">
        <f>'Összesített ktgvetés'!H142</f>
        <v>840000</v>
      </c>
      <c r="G37" s="28"/>
      <c r="H37" s="28"/>
      <c r="I37" s="349">
        <f t="shared" si="10"/>
        <v>840000</v>
      </c>
      <c r="J37" s="120"/>
      <c r="K37" s="28">
        <f>'Összesített ktgvetés'!L142</f>
        <v>0</v>
      </c>
      <c r="L37" s="28"/>
      <c r="M37" s="28"/>
      <c r="N37" s="349">
        <f t="shared" si="11"/>
        <v>0</v>
      </c>
      <c r="O37" s="373">
        <f aca="true" t="shared" si="14" ref="O37:O43">I37+N37</f>
        <v>840000</v>
      </c>
      <c r="P37" s="99"/>
      <c r="Q37" s="28">
        <f>'Összesített ktgvetés'!O142</f>
        <v>1285000</v>
      </c>
      <c r="R37" s="28"/>
      <c r="S37" s="28"/>
      <c r="T37" s="349">
        <f t="shared" si="12"/>
        <v>1285000</v>
      </c>
      <c r="U37" s="120"/>
      <c r="V37" s="28">
        <f>'Összesített ktgvetés'!S142</f>
        <v>1752000</v>
      </c>
      <c r="W37" s="28"/>
      <c r="X37" s="28"/>
      <c r="Y37" s="349">
        <f aca="true" t="shared" si="15" ref="Y37:Y43">SUM(V37:X37)</f>
        <v>1752000</v>
      </c>
      <c r="Z37" s="120"/>
      <c r="AA37" s="373">
        <f aca="true" t="shared" si="16" ref="AA37:AA43">T37+Y37</f>
        <v>3037000</v>
      </c>
      <c r="AB37" s="99"/>
      <c r="AC37" s="28">
        <f>'Összesített ktgvetés'!Z142</f>
        <v>0</v>
      </c>
      <c r="AD37" s="28"/>
      <c r="AE37" s="28"/>
      <c r="AF37" s="349">
        <f aca="true" t="shared" si="17" ref="AF37:AF43">SUM(AC37:AE37)</f>
        <v>0</v>
      </c>
      <c r="AG37" s="120"/>
      <c r="AH37" s="28">
        <f>'Összesített ktgvetés'!AD142</f>
        <v>4940000</v>
      </c>
      <c r="AI37" s="28"/>
      <c r="AJ37" s="28"/>
      <c r="AK37" s="349">
        <f aca="true" t="shared" si="18" ref="AK37:AK43">SUM(AH37:AJ37)</f>
        <v>4940000</v>
      </c>
      <c r="AL37" s="373">
        <f aca="true" t="shared" si="19" ref="AL37:AL43">AF37+AK37</f>
        <v>4940000</v>
      </c>
    </row>
    <row r="38" spans="1:38" s="29" customFormat="1" ht="12.75" customHeight="1">
      <c r="A38" s="25" t="s">
        <v>460</v>
      </c>
      <c r="B38" s="32" t="s">
        <v>461</v>
      </c>
      <c r="C38" s="30" t="s">
        <v>462</v>
      </c>
      <c r="D38" s="28">
        <f t="shared" si="13"/>
        <v>3990000</v>
      </c>
      <c r="E38" s="99"/>
      <c r="F38" s="28">
        <f>'Összesített ktgvetés'!H147</f>
        <v>0</v>
      </c>
      <c r="G38" s="28"/>
      <c r="H38" s="28"/>
      <c r="I38" s="349">
        <f t="shared" si="10"/>
        <v>0</v>
      </c>
      <c r="J38" s="120"/>
      <c r="K38" s="28">
        <f>'Összesített ktgvetés'!L147</f>
        <v>0</v>
      </c>
      <c r="L38" s="28"/>
      <c r="M38" s="28"/>
      <c r="N38" s="349">
        <f t="shared" si="11"/>
        <v>0</v>
      </c>
      <c r="O38" s="373">
        <f t="shared" si="14"/>
        <v>0</v>
      </c>
      <c r="P38" s="99"/>
      <c r="Q38" s="28">
        <f>'Összesített ktgvetés'!Q147</f>
        <v>0</v>
      </c>
      <c r="R38" s="28"/>
      <c r="S38" s="28"/>
      <c r="T38" s="349">
        <f t="shared" si="12"/>
        <v>0</v>
      </c>
      <c r="U38" s="120"/>
      <c r="V38" s="28">
        <f>'Összesített ktgvetés'!U147</f>
        <v>0</v>
      </c>
      <c r="W38" s="28"/>
      <c r="X38" s="28"/>
      <c r="Y38" s="349">
        <f t="shared" si="15"/>
        <v>0</v>
      </c>
      <c r="Z38" s="120"/>
      <c r="AA38" s="373">
        <f t="shared" si="16"/>
        <v>0</v>
      </c>
      <c r="AB38" s="99"/>
      <c r="AC38" s="28">
        <f>'Összesített ktgvetés'!Z147</f>
        <v>0</v>
      </c>
      <c r="AD38" s="28"/>
      <c r="AE38" s="28"/>
      <c r="AF38" s="349">
        <f t="shared" si="17"/>
        <v>0</v>
      </c>
      <c r="AG38" s="120"/>
      <c r="AH38" s="28">
        <f>'Összesített ktgvetés'!AB147</f>
        <v>3990000</v>
      </c>
      <c r="AI38" s="28"/>
      <c r="AJ38" s="28"/>
      <c r="AK38" s="349">
        <f t="shared" si="18"/>
        <v>3990000</v>
      </c>
      <c r="AL38" s="373">
        <f t="shared" si="19"/>
        <v>3990000</v>
      </c>
    </row>
    <row r="39" spans="1:38" s="29" customFormat="1" ht="12.75" customHeight="1">
      <c r="A39" s="25" t="s">
        <v>463</v>
      </c>
      <c r="B39" s="32" t="s">
        <v>464</v>
      </c>
      <c r="C39" s="30" t="s">
        <v>465</v>
      </c>
      <c r="D39" s="28">
        <f t="shared" si="13"/>
        <v>3471300</v>
      </c>
      <c r="E39" s="99"/>
      <c r="F39" s="28">
        <f>'Összesített ktgvetés'!H149</f>
        <v>348000</v>
      </c>
      <c r="G39" s="28"/>
      <c r="H39" s="28"/>
      <c r="I39" s="349">
        <f t="shared" si="10"/>
        <v>348000</v>
      </c>
      <c r="J39" s="120"/>
      <c r="K39" s="28">
        <f>'Összesített ktgvetés'!L149</f>
        <v>240000</v>
      </c>
      <c r="L39" s="28"/>
      <c r="M39" s="28"/>
      <c r="N39" s="349">
        <f t="shared" si="11"/>
        <v>240000</v>
      </c>
      <c r="O39" s="373">
        <f t="shared" si="14"/>
        <v>588000</v>
      </c>
      <c r="P39" s="99"/>
      <c r="Q39" s="28">
        <f>'Összesített ktgvetés'!Q149</f>
        <v>0</v>
      </c>
      <c r="R39" s="28"/>
      <c r="S39" s="28"/>
      <c r="T39" s="349">
        <f t="shared" si="12"/>
        <v>0</v>
      </c>
      <c r="U39" s="120"/>
      <c r="V39" s="28">
        <f>'Összesített ktgvetés'!U149</f>
        <v>0</v>
      </c>
      <c r="W39" s="28"/>
      <c r="X39" s="28"/>
      <c r="Y39" s="349">
        <f t="shared" si="15"/>
        <v>0</v>
      </c>
      <c r="Z39" s="120"/>
      <c r="AA39" s="373">
        <f t="shared" si="16"/>
        <v>0</v>
      </c>
      <c r="AB39" s="99"/>
      <c r="AC39" s="28">
        <f>'Összesített ktgvetés'!Z149</f>
        <v>2643300</v>
      </c>
      <c r="AD39" s="28"/>
      <c r="AE39" s="28"/>
      <c r="AF39" s="349">
        <f t="shared" si="17"/>
        <v>2643300</v>
      </c>
      <c r="AG39" s="120"/>
      <c r="AH39" s="28">
        <f>'Összesített ktgvetés'!AD149</f>
        <v>240000</v>
      </c>
      <c r="AI39" s="28"/>
      <c r="AJ39" s="28"/>
      <c r="AK39" s="349">
        <f t="shared" si="18"/>
        <v>240000</v>
      </c>
      <c r="AL39" s="373">
        <f t="shared" si="19"/>
        <v>2883300</v>
      </c>
    </row>
    <row r="40" spans="1:38" s="29" customFormat="1" ht="12.75" customHeight="1">
      <c r="A40" s="25" t="s">
        <v>466</v>
      </c>
      <c r="B40" s="32" t="s">
        <v>467</v>
      </c>
      <c r="C40" s="30" t="s">
        <v>468</v>
      </c>
      <c r="D40" s="28">
        <f t="shared" si="13"/>
        <v>653700</v>
      </c>
      <c r="E40" s="99"/>
      <c r="F40" s="28">
        <f>'Összesített ktgvetés'!H153</f>
        <v>0</v>
      </c>
      <c r="G40" s="28"/>
      <c r="H40" s="28"/>
      <c r="I40" s="349">
        <f t="shared" si="10"/>
        <v>0</v>
      </c>
      <c r="J40" s="120"/>
      <c r="K40" s="28">
        <f>'Összesített ktgvetés'!L153</f>
        <v>0</v>
      </c>
      <c r="L40" s="28"/>
      <c r="M40" s="28"/>
      <c r="N40" s="349">
        <f t="shared" si="11"/>
        <v>0</v>
      </c>
      <c r="O40" s="373">
        <f t="shared" si="14"/>
        <v>0</v>
      </c>
      <c r="P40" s="99"/>
      <c r="Q40" s="28">
        <f>'Összesített ktgvetés'!Q153</f>
        <v>0</v>
      </c>
      <c r="R40" s="28"/>
      <c r="S40" s="28"/>
      <c r="T40" s="349">
        <f t="shared" si="12"/>
        <v>0</v>
      </c>
      <c r="U40" s="120"/>
      <c r="V40" s="28">
        <f>'Összesített ktgvetés'!U153</f>
        <v>0</v>
      </c>
      <c r="W40" s="28"/>
      <c r="X40" s="28"/>
      <c r="Y40" s="349">
        <f t="shared" si="15"/>
        <v>0</v>
      </c>
      <c r="Z40" s="120"/>
      <c r="AA40" s="373">
        <f t="shared" si="16"/>
        <v>0</v>
      </c>
      <c r="AB40" s="99"/>
      <c r="AC40" s="28">
        <f>'Összesített ktgvetés'!Z153</f>
        <v>393700</v>
      </c>
      <c r="AD40" s="28"/>
      <c r="AE40" s="28"/>
      <c r="AF40" s="349">
        <f t="shared" si="17"/>
        <v>393700</v>
      </c>
      <c r="AG40" s="120"/>
      <c r="AH40" s="28">
        <f>'Összesített ktgvetés'!AD153</f>
        <v>260000</v>
      </c>
      <c r="AI40" s="28"/>
      <c r="AJ40" s="28"/>
      <c r="AK40" s="349">
        <f t="shared" si="18"/>
        <v>260000</v>
      </c>
      <c r="AL40" s="373">
        <f t="shared" si="19"/>
        <v>653700</v>
      </c>
    </row>
    <row r="41" spans="1:38" s="29" customFormat="1" ht="12.75" customHeight="1">
      <c r="A41" s="25" t="s">
        <v>469</v>
      </c>
      <c r="B41" s="41" t="s">
        <v>224</v>
      </c>
      <c r="C41" s="30" t="s">
        <v>470</v>
      </c>
      <c r="D41" s="28">
        <f t="shared" si="13"/>
        <v>0</v>
      </c>
      <c r="E41" s="99"/>
      <c r="F41" s="28">
        <f>'Összesített ktgvetés'!F157</f>
        <v>0</v>
      </c>
      <c r="G41" s="28"/>
      <c r="H41" s="28"/>
      <c r="I41" s="349">
        <f t="shared" si="10"/>
        <v>0</v>
      </c>
      <c r="J41" s="120"/>
      <c r="K41" s="28">
        <f>'Összesített ktgvetés'!L157</f>
        <v>0</v>
      </c>
      <c r="L41" s="28"/>
      <c r="M41" s="28"/>
      <c r="N41" s="349">
        <f t="shared" si="11"/>
        <v>0</v>
      </c>
      <c r="O41" s="373">
        <f t="shared" si="14"/>
        <v>0</v>
      </c>
      <c r="P41" s="99"/>
      <c r="Q41" s="28">
        <f>'Összesített ktgvetés'!Q157</f>
        <v>0</v>
      </c>
      <c r="R41" s="28"/>
      <c r="S41" s="28"/>
      <c r="T41" s="349">
        <f t="shared" si="12"/>
        <v>0</v>
      </c>
      <c r="U41" s="120"/>
      <c r="V41" s="28">
        <f>'Összesített ktgvetés'!U157</f>
        <v>0</v>
      </c>
      <c r="W41" s="28"/>
      <c r="X41" s="28"/>
      <c r="Y41" s="349">
        <f t="shared" si="15"/>
        <v>0</v>
      </c>
      <c r="Z41" s="120"/>
      <c r="AA41" s="373">
        <f t="shared" si="16"/>
        <v>0</v>
      </c>
      <c r="AB41" s="99"/>
      <c r="AC41" s="28">
        <f>'Összesített ktgvetés'!Z157</f>
        <v>0</v>
      </c>
      <c r="AD41" s="28"/>
      <c r="AE41" s="28"/>
      <c r="AF41" s="349">
        <f t="shared" si="17"/>
        <v>0</v>
      </c>
      <c r="AG41" s="120"/>
      <c r="AH41" s="28">
        <f>'Összesített ktgvetés'!AD157</f>
        <v>0</v>
      </c>
      <c r="AI41" s="28"/>
      <c r="AJ41" s="28"/>
      <c r="AK41" s="349">
        <f t="shared" si="18"/>
        <v>0</v>
      </c>
      <c r="AL41" s="373">
        <f t="shared" si="19"/>
        <v>0</v>
      </c>
    </row>
    <row r="42" spans="1:38" s="29" customFormat="1" ht="12.75" customHeight="1">
      <c r="A42" s="25" t="s">
        <v>471</v>
      </c>
      <c r="B42" s="34" t="s">
        <v>227</v>
      </c>
      <c r="C42" s="30" t="s">
        <v>472</v>
      </c>
      <c r="D42" s="28">
        <f t="shared" si="13"/>
        <v>19426000</v>
      </c>
      <c r="E42" s="99"/>
      <c r="F42" s="28">
        <f>'Összesített ktgvetés'!H161</f>
        <v>3033000</v>
      </c>
      <c r="G42" s="28"/>
      <c r="H42" s="28"/>
      <c r="I42" s="349">
        <f t="shared" si="10"/>
        <v>3033000</v>
      </c>
      <c r="J42" s="120"/>
      <c r="K42" s="28">
        <f>'Összesített ktgvetés'!L161</f>
        <v>1664000</v>
      </c>
      <c r="L42" s="28"/>
      <c r="M42" s="28"/>
      <c r="N42" s="349">
        <f t="shared" si="11"/>
        <v>1664000</v>
      </c>
      <c r="O42" s="373">
        <f t="shared" si="14"/>
        <v>4697000</v>
      </c>
      <c r="P42" s="99"/>
      <c r="Q42" s="28">
        <f>'Összesített ktgvetés'!Q161</f>
        <v>8919000</v>
      </c>
      <c r="R42" s="28"/>
      <c r="S42" s="28"/>
      <c r="T42" s="349">
        <f t="shared" si="12"/>
        <v>8919000</v>
      </c>
      <c r="U42" s="120"/>
      <c r="V42" s="28">
        <f>'Összesített ktgvetés'!U161</f>
        <v>1060000</v>
      </c>
      <c r="W42" s="28"/>
      <c r="X42" s="28"/>
      <c r="Y42" s="349">
        <f t="shared" si="15"/>
        <v>1060000</v>
      </c>
      <c r="Z42" s="120"/>
      <c r="AA42" s="373">
        <f t="shared" si="16"/>
        <v>9979000</v>
      </c>
      <c r="AB42" s="99"/>
      <c r="AC42" s="28">
        <f>'Összesített ktgvetés'!Z161</f>
        <v>3700000</v>
      </c>
      <c r="AD42" s="28"/>
      <c r="AE42" s="28"/>
      <c r="AF42" s="349">
        <f t="shared" si="17"/>
        <v>3700000</v>
      </c>
      <c r="AG42" s="120"/>
      <c r="AH42" s="28">
        <f>'Összesített ktgvetés'!AD161</f>
        <v>1050000</v>
      </c>
      <c r="AI42" s="28"/>
      <c r="AJ42" s="28"/>
      <c r="AK42" s="349">
        <f t="shared" si="18"/>
        <v>1050000</v>
      </c>
      <c r="AL42" s="373">
        <f t="shared" si="19"/>
        <v>4750000</v>
      </c>
    </row>
    <row r="43" spans="1:38" s="29" customFormat="1" ht="12.75" customHeight="1">
      <c r="A43" s="25" t="s">
        <v>473</v>
      </c>
      <c r="B43" s="32" t="s">
        <v>0</v>
      </c>
      <c r="C43" s="30" t="s">
        <v>474</v>
      </c>
      <c r="D43" s="28">
        <f t="shared" si="13"/>
        <v>10334000</v>
      </c>
      <c r="E43" s="99"/>
      <c r="F43" s="28">
        <f>'Összesített ktgvetés'!H183</f>
        <v>3424000</v>
      </c>
      <c r="G43" s="28"/>
      <c r="H43" s="28"/>
      <c r="I43" s="349">
        <f t="shared" si="10"/>
        <v>3424000</v>
      </c>
      <c r="J43" s="120"/>
      <c r="K43" s="28">
        <f>'Összesített ktgvetés'!L183</f>
        <v>447000</v>
      </c>
      <c r="L43" s="28"/>
      <c r="M43" s="28"/>
      <c r="N43" s="349">
        <f t="shared" si="11"/>
        <v>447000</v>
      </c>
      <c r="O43" s="373">
        <f t="shared" si="14"/>
        <v>3871000</v>
      </c>
      <c r="P43" s="99"/>
      <c r="Q43" s="28">
        <f>'Összesített ktgvetés'!Q183</f>
        <v>320000</v>
      </c>
      <c r="R43" s="28">
        <f>'Összesített ktgvetés'!P183</f>
        <v>0</v>
      </c>
      <c r="S43" s="28"/>
      <c r="T43" s="349">
        <f t="shared" si="12"/>
        <v>320000</v>
      </c>
      <c r="U43" s="120"/>
      <c r="V43" s="28">
        <f>'Összesített ktgvetés'!U183</f>
        <v>108000</v>
      </c>
      <c r="W43" s="28"/>
      <c r="X43" s="28"/>
      <c r="Y43" s="349">
        <f t="shared" si="15"/>
        <v>108000</v>
      </c>
      <c r="Z43" s="120"/>
      <c r="AA43" s="373">
        <f t="shared" si="16"/>
        <v>428000</v>
      </c>
      <c r="AB43" s="99"/>
      <c r="AC43" s="28">
        <f>'Összesített ktgvetés'!Z183</f>
        <v>4197000</v>
      </c>
      <c r="AD43" s="28"/>
      <c r="AE43" s="28"/>
      <c r="AF43" s="349">
        <f t="shared" si="17"/>
        <v>4197000</v>
      </c>
      <c r="AG43" s="120"/>
      <c r="AH43" s="28">
        <f>'Összesített ktgvetés'!AB183</f>
        <v>1838000</v>
      </c>
      <c r="AI43" s="28"/>
      <c r="AJ43" s="28"/>
      <c r="AK43" s="349">
        <f t="shared" si="18"/>
        <v>1838000</v>
      </c>
      <c r="AL43" s="373">
        <f t="shared" si="19"/>
        <v>6035000</v>
      </c>
    </row>
    <row r="44" spans="1:38" s="98" customFormat="1" ht="12.75" customHeight="1">
      <c r="A44" s="110" t="s">
        <v>475</v>
      </c>
      <c r="B44" s="96" t="s">
        <v>476</v>
      </c>
      <c r="C44" s="112" t="s">
        <v>477</v>
      </c>
      <c r="D44" s="56">
        <f>SUM(D37:D43)</f>
        <v>46692000</v>
      </c>
      <c r="F44" s="56">
        <f>SUM(F37:F43)</f>
        <v>7645000</v>
      </c>
      <c r="G44" s="56">
        <f>SUM(G37:G43)</f>
        <v>0</v>
      </c>
      <c r="H44" s="56">
        <f>SUM(H37:H43)</f>
        <v>0</v>
      </c>
      <c r="I44" s="56">
        <f>SUM(I37:I43)</f>
        <v>7645000</v>
      </c>
      <c r="J44" s="362"/>
      <c r="K44" s="56">
        <f>SUM(K37:K43)</f>
        <v>2351000</v>
      </c>
      <c r="L44" s="56">
        <f>SUM(L37:L43)</f>
        <v>0</v>
      </c>
      <c r="M44" s="56">
        <f>SUM(M37:M43)</f>
        <v>0</v>
      </c>
      <c r="N44" s="56">
        <f>SUM(N37:N43)</f>
        <v>2351000</v>
      </c>
      <c r="O44" s="56">
        <f>SUM(O37:O43)</f>
        <v>9996000</v>
      </c>
      <c r="Q44" s="56">
        <f>SUM(Q37:Q43)</f>
        <v>10524000</v>
      </c>
      <c r="R44" s="56">
        <f>SUM(R37:R43)</f>
        <v>0</v>
      </c>
      <c r="S44" s="56">
        <f>SUM(S37:S43)</f>
        <v>0</v>
      </c>
      <c r="T44" s="56">
        <f>SUM(T37:T43)</f>
        <v>10524000</v>
      </c>
      <c r="U44" s="362"/>
      <c r="V44" s="56">
        <f>SUM(V37:V43)</f>
        <v>2920000</v>
      </c>
      <c r="W44" s="56">
        <f>SUM(W37:W43)</f>
        <v>0</v>
      </c>
      <c r="X44" s="56">
        <f>SUM(X37:X43)</f>
        <v>0</v>
      </c>
      <c r="Y44" s="56">
        <f>SUM(Y37:Y43)</f>
        <v>2920000</v>
      </c>
      <c r="Z44" s="362"/>
      <c r="AA44" s="56">
        <f>SUM(AA37:AA43)</f>
        <v>13444000</v>
      </c>
      <c r="AC44" s="56">
        <f>SUM(AC37:AC43)</f>
        <v>10934000</v>
      </c>
      <c r="AD44" s="56">
        <f>SUM(AD37:AD43)</f>
        <v>0</v>
      </c>
      <c r="AE44" s="56">
        <f>SUM(AE37:AE43)</f>
        <v>0</v>
      </c>
      <c r="AF44" s="56">
        <f>SUM(AF37:AF43)</f>
        <v>10934000</v>
      </c>
      <c r="AG44" s="362"/>
      <c r="AH44" s="56">
        <f>SUM(AH37:AH43)</f>
        <v>12318000</v>
      </c>
      <c r="AI44" s="56">
        <f>SUM(AI37:AI43)</f>
        <v>0</v>
      </c>
      <c r="AJ44" s="56">
        <f>SUM(AJ37:AJ43)</f>
        <v>0</v>
      </c>
      <c r="AK44" s="56">
        <f>SUM(AK37:AK43)</f>
        <v>12318000</v>
      </c>
      <c r="AL44" s="56">
        <f>SUM(AL37:AL43)</f>
        <v>23252000</v>
      </c>
    </row>
    <row r="45" spans="1:38" s="29" customFormat="1" ht="12.75" customHeight="1">
      <c r="A45" s="25" t="s">
        <v>478</v>
      </c>
      <c r="B45" s="32" t="s">
        <v>479</v>
      </c>
      <c r="C45" s="30" t="s">
        <v>480</v>
      </c>
      <c r="D45" s="28">
        <f>O45+AA45+AL45</f>
        <v>700000</v>
      </c>
      <c r="E45" s="99"/>
      <c r="F45" s="28">
        <f>'Összesített ktgvetés'!H203+'Összesített ktgvetés'!H204</f>
        <v>200000</v>
      </c>
      <c r="G45" s="28"/>
      <c r="H45" s="28"/>
      <c r="I45" s="349">
        <f t="shared" si="10"/>
        <v>200000</v>
      </c>
      <c r="J45" s="120"/>
      <c r="K45" s="28">
        <f>'Összesített ktgvetés'!L203+'Összesített ktgvetés'!L204</f>
        <v>100000</v>
      </c>
      <c r="L45" s="28"/>
      <c r="M45" s="28"/>
      <c r="N45" s="349">
        <f t="shared" si="11"/>
        <v>100000</v>
      </c>
      <c r="O45" s="373">
        <f>I45+N45</f>
        <v>300000</v>
      </c>
      <c r="P45" s="99"/>
      <c r="Q45" s="28">
        <f>'Összesített ktgvetés'!Q203+'Összesített ktgvetés'!Q204</f>
        <v>300000</v>
      </c>
      <c r="R45" s="28"/>
      <c r="S45" s="28"/>
      <c r="T45" s="349">
        <f t="shared" si="12"/>
        <v>300000</v>
      </c>
      <c r="U45" s="120"/>
      <c r="V45" s="28">
        <f>'Összesített ktgvetés'!U203+'Összesített ktgvetés'!U204</f>
        <v>0</v>
      </c>
      <c r="W45" s="28"/>
      <c r="X45" s="28"/>
      <c r="Y45" s="349">
        <f>SUM(V45:X45)</f>
        <v>0</v>
      </c>
      <c r="Z45" s="120"/>
      <c r="AA45" s="373">
        <f>T45+Y45</f>
        <v>300000</v>
      </c>
      <c r="AB45" s="99"/>
      <c r="AC45" s="28">
        <f>'Összesített ktgvetés'!Z203+'Összesített ktgvetés'!Z204</f>
        <v>100000</v>
      </c>
      <c r="AD45" s="28"/>
      <c r="AE45" s="28"/>
      <c r="AF45" s="349">
        <f>SUM(AC45:AE45)</f>
        <v>100000</v>
      </c>
      <c r="AG45" s="120"/>
      <c r="AH45" s="28">
        <f>'Összesített ktgvetés'!AD203+'Összesített ktgvetés'!AD204</f>
        <v>0</v>
      </c>
      <c r="AI45" s="28"/>
      <c r="AJ45" s="28"/>
      <c r="AK45" s="349">
        <f>SUM(AH45:AJ45)</f>
        <v>0</v>
      </c>
      <c r="AL45" s="373">
        <f>AF45+AK45</f>
        <v>100000</v>
      </c>
    </row>
    <row r="46" spans="1:38" s="29" customFormat="1" ht="12.75" customHeight="1">
      <c r="A46" s="25" t="s">
        <v>481</v>
      </c>
      <c r="B46" s="32" t="s">
        <v>482</v>
      </c>
      <c r="C46" s="30" t="s">
        <v>483</v>
      </c>
      <c r="D46" s="28">
        <f>O46+AA46+AL46</f>
        <v>3592000</v>
      </c>
      <c r="E46" s="99"/>
      <c r="F46" s="28">
        <f>'Összesített ktgvetés'!H205+'Összesített ktgvetés'!H206</f>
        <v>2542000</v>
      </c>
      <c r="G46" s="28"/>
      <c r="H46" s="28"/>
      <c r="I46" s="349">
        <f t="shared" si="10"/>
        <v>2542000</v>
      </c>
      <c r="J46" s="120"/>
      <c r="K46" s="28">
        <f>'Összesített ktgvetés'!L205+'Összesített ktgvetés'!L206</f>
        <v>250000</v>
      </c>
      <c r="L46" s="28"/>
      <c r="M46" s="28"/>
      <c r="N46" s="349">
        <f t="shared" si="11"/>
        <v>250000</v>
      </c>
      <c r="O46" s="373">
        <f>I46+N46</f>
        <v>2792000</v>
      </c>
      <c r="P46" s="99"/>
      <c r="Q46" s="28">
        <v>0</v>
      </c>
      <c r="R46" s="28"/>
      <c r="S46" s="28"/>
      <c r="T46" s="349">
        <f t="shared" si="12"/>
        <v>0</v>
      </c>
      <c r="U46" s="120"/>
      <c r="V46" s="28">
        <f>'Összesített ktgvetés'!U205+'Összesített ktgvetés'!U206</f>
        <v>0</v>
      </c>
      <c r="W46" s="28"/>
      <c r="X46" s="28"/>
      <c r="Y46" s="349">
        <f>SUM(V46:X46)</f>
        <v>0</v>
      </c>
      <c r="Z46" s="120"/>
      <c r="AA46" s="373">
        <f>T46+Y46</f>
        <v>0</v>
      </c>
      <c r="AB46" s="99"/>
      <c r="AC46" s="28">
        <f>'Összesített ktgvetés'!Z205+'Összesített ktgvetés'!Z206</f>
        <v>800000</v>
      </c>
      <c r="AD46" s="28"/>
      <c r="AE46" s="28"/>
      <c r="AF46" s="349">
        <f>SUM(AC46:AE46)</f>
        <v>800000</v>
      </c>
      <c r="AG46" s="120"/>
      <c r="AH46" s="28">
        <f>'Összesített ktgvetés'!AD205+'Összesített ktgvetés'!AD206</f>
        <v>0</v>
      </c>
      <c r="AI46" s="28"/>
      <c r="AJ46" s="28"/>
      <c r="AK46" s="349">
        <f>SUM(AH46:AJ46)</f>
        <v>0</v>
      </c>
      <c r="AL46" s="373">
        <f>AF46+AK46</f>
        <v>800000</v>
      </c>
    </row>
    <row r="47" spans="1:38" s="98" customFormat="1" ht="12.75" customHeight="1">
      <c r="A47" s="110" t="s">
        <v>484</v>
      </c>
      <c r="B47" s="96" t="s">
        <v>485</v>
      </c>
      <c r="C47" s="112" t="s">
        <v>486</v>
      </c>
      <c r="D47" s="56">
        <f>SUM(D45:D46)</f>
        <v>4292000</v>
      </c>
      <c r="F47" s="56">
        <f>SUM(F45:F46)</f>
        <v>2742000</v>
      </c>
      <c r="G47" s="56">
        <f>SUM(G45:G46)</f>
        <v>0</v>
      </c>
      <c r="H47" s="56">
        <f>SUM(H45:H46)</f>
        <v>0</v>
      </c>
      <c r="I47" s="56">
        <f>SUM(I45:I46)</f>
        <v>2742000</v>
      </c>
      <c r="J47" s="362"/>
      <c r="K47" s="56">
        <f>SUM(K45:K46)</f>
        <v>350000</v>
      </c>
      <c r="L47" s="56">
        <f>SUM(L45:L46)</f>
        <v>0</v>
      </c>
      <c r="M47" s="56">
        <f>SUM(M45:M46)</f>
        <v>0</v>
      </c>
      <c r="N47" s="56">
        <f>SUM(N45:N46)</f>
        <v>350000</v>
      </c>
      <c r="O47" s="56">
        <f>SUM(O45:O46)</f>
        <v>3092000</v>
      </c>
      <c r="Q47" s="56">
        <f>SUM(Q45:Q46)</f>
        <v>300000</v>
      </c>
      <c r="R47" s="56">
        <f>SUM(R45:R46)</f>
        <v>0</v>
      </c>
      <c r="S47" s="56">
        <f>SUM(S45:S46)</f>
        <v>0</v>
      </c>
      <c r="T47" s="56">
        <f>SUM(T45:T46)</f>
        <v>300000</v>
      </c>
      <c r="U47" s="362"/>
      <c r="V47" s="56">
        <f>SUM(V45:V46)</f>
        <v>0</v>
      </c>
      <c r="W47" s="56">
        <f>SUM(W45:W46)</f>
        <v>0</v>
      </c>
      <c r="X47" s="56">
        <f>SUM(X45:X46)</f>
        <v>0</v>
      </c>
      <c r="Y47" s="56">
        <f>SUM(Y45:Y46)</f>
        <v>0</v>
      </c>
      <c r="Z47" s="362"/>
      <c r="AA47" s="56">
        <f>SUM(AA45:AA46)</f>
        <v>300000</v>
      </c>
      <c r="AC47" s="56">
        <f>SUM(AC45:AC46)</f>
        <v>900000</v>
      </c>
      <c r="AD47" s="56">
        <f>SUM(AD45:AD46)</f>
        <v>0</v>
      </c>
      <c r="AE47" s="56">
        <f>SUM(AE45:AE46)</f>
        <v>0</v>
      </c>
      <c r="AF47" s="56">
        <f>SUM(AF45:AF46)</f>
        <v>900000</v>
      </c>
      <c r="AG47" s="362"/>
      <c r="AH47" s="56">
        <f>SUM(AH45:AH46)</f>
        <v>0</v>
      </c>
      <c r="AI47" s="56">
        <f>SUM(AI45:AI46)</f>
        <v>0</v>
      </c>
      <c r="AJ47" s="56">
        <f>SUM(AJ45:AJ46)</f>
        <v>0</v>
      </c>
      <c r="AK47" s="56">
        <f>SUM(AK45:AK46)</f>
        <v>0</v>
      </c>
      <c r="AL47" s="56">
        <f>SUM(AL45:AL46)</f>
        <v>900000</v>
      </c>
    </row>
    <row r="48" spans="1:38" s="29" customFormat="1" ht="12.75" customHeight="1">
      <c r="A48" s="25" t="s">
        <v>487</v>
      </c>
      <c r="B48" s="32" t="s">
        <v>488</v>
      </c>
      <c r="C48" s="30" t="s">
        <v>489</v>
      </c>
      <c r="D48" s="28">
        <f>O48+AA48+AL48</f>
        <v>11672000</v>
      </c>
      <c r="E48" s="99"/>
      <c r="F48" s="28">
        <f>'Összesített ktgvetés'!F209</f>
        <v>2508000</v>
      </c>
      <c r="G48" s="28"/>
      <c r="H48" s="28"/>
      <c r="I48" s="349">
        <f t="shared" si="10"/>
        <v>2508000</v>
      </c>
      <c r="J48" s="120"/>
      <c r="K48" s="28">
        <f>'Összesített ktgvetés'!L209</f>
        <v>930000</v>
      </c>
      <c r="L48" s="28"/>
      <c r="M48" s="28"/>
      <c r="N48" s="349">
        <f t="shared" si="11"/>
        <v>930000</v>
      </c>
      <c r="O48" s="373">
        <f>I48+N48</f>
        <v>3438000</v>
      </c>
      <c r="P48" s="99"/>
      <c r="Q48" s="28">
        <f>'Összesített ktgvetés'!Q209</f>
        <v>2842000</v>
      </c>
      <c r="R48" s="28"/>
      <c r="S48" s="28"/>
      <c r="T48" s="349">
        <f t="shared" si="12"/>
        <v>2842000</v>
      </c>
      <c r="U48" s="120"/>
      <c r="V48" s="28">
        <f>'Összesített ktgvetés'!U209</f>
        <v>840000</v>
      </c>
      <c r="W48" s="28"/>
      <c r="X48" s="28"/>
      <c r="Y48" s="349">
        <f>SUM(V48:X48)</f>
        <v>840000</v>
      </c>
      <c r="Z48" s="120"/>
      <c r="AA48" s="373">
        <f>T48+Y48</f>
        <v>3682000</v>
      </c>
      <c r="AB48" s="99"/>
      <c r="AC48" s="28">
        <f>'Összesített ktgvetés'!Z209</f>
        <v>2281000</v>
      </c>
      <c r="AD48" s="28"/>
      <c r="AE48" s="28"/>
      <c r="AF48" s="349">
        <f>SUM(AC48:AE48)</f>
        <v>2281000</v>
      </c>
      <c r="AG48" s="120"/>
      <c r="AH48" s="28">
        <f>'Összesített ktgvetés'!AD209</f>
        <v>2271000</v>
      </c>
      <c r="AI48" s="28"/>
      <c r="AJ48" s="28"/>
      <c r="AK48" s="349">
        <f>SUM(AH48:AJ48)</f>
        <v>2271000</v>
      </c>
      <c r="AL48" s="373">
        <f>AF48+AK48</f>
        <v>4552000</v>
      </c>
    </row>
    <row r="49" spans="1:38" s="29" customFormat="1" ht="12.75" customHeight="1">
      <c r="A49" s="25" t="s">
        <v>490</v>
      </c>
      <c r="B49" s="32" t="s">
        <v>491</v>
      </c>
      <c r="C49" s="30" t="s">
        <v>492</v>
      </c>
      <c r="D49" s="28">
        <f>O49+AA49+AL49</f>
        <v>0</v>
      </c>
      <c r="E49" s="99"/>
      <c r="F49" s="28">
        <f>'Összesített ktgvetés'!G209</f>
        <v>0</v>
      </c>
      <c r="G49" s="28"/>
      <c r="H49" s="28"/>
      <c r="I49" s="349">
        <f t="shared" si="10"/>
        <v>0</v>
      </c>
      <c r="J49" s="120"/>
      <c r="K49" s="28">
        <v>0</v>
      </c>
      <c r="L49" s="28"/>
      <c r="M49" s="28"/>
      <c r="N49" s="349">
        <f t="shared" si="11"/>
        <v>0</v>
      </c>
      <c r="O49" s="373">
        <f>I49+N49</f>
        <v>0</v>
      </c>
      <c r="P49" s="99"/>
      <c r="Q49" s="28">
        <v>0</v>
      </c>
      <c r="R49" s="28"/>
      <c r="S49" s="28"/>
      <c r="T49" s="349">
        <f t="shared" si="12"/>
        <v>0</v>
      </c>
      <c r="U49" s="120"/>
      <c r="V49" s="28">
        <v>0</v>
      </c>
      <c r="W49" s="28"/>
      <c r="X49" s="28"/>
      <c r="Y49" s="349">
        <f>SUM(V49:X49)</f>
        <v>0</v>
      </c>
      <c r="Z49" s="120"/>
      <c r="AA49" s="373">
        <f>T49+Y49</f>
        <v>0</v>
      </c>
      <c r="AB49" s="99"/>
      <c r="AC49" s="28">
        <v>0</v>
      </c>
      <c r="AD49" s="28"/>
      <c r="AE49" s="28"/>
      <c r="AF49" s="349">
        <f>SUM(AC49:AE49)</f>
        <v>0</v>
      </c>
      <c r="AG49" s="120"/>
      <c r="AH49" s="28">
        <v>0</v>
      </c>
      <c r="AI49" s="28"/>
      <c r="AJ49" s="28"/>
      <c r="AK49" s="349">
        <f>SUM(AH49:AJ49)</f>
        <v>0</v>
      </c>
      <c r="AL49" s="373">
        <f>AF49+AK49</f>
        <v>0</v>
      </c>
    </row>
    <row r="50" spans="1:38" s="29" customFormat="1" ht="12.75" customHeight="1">
      <c r="A50" s="25" t="s">
        <v>493</v>
      </c>
      <c r="B50" s="32" t="s">
        <v>494</v>
      </c>
      <c r="C50" s="30" t="s">
        <v>495</v>
      </c>
      <c r="D50" s="28">
        <f>O50+AA50+AL50</f>
        <v>0</v>
      </c>
      <c r="E50" s="99"/>
      <c r="F50" s="28">
        <v>0</v>
      </c>
      <c r="G50" s="28"/>
      <c r="H50" s="28"/>
      <c r="I50" s="349">
        <f t="shared" si="10"/>
        <v>0</v>
      </c>
      <c r="J50" s="120"/>
      <c r="K50" s="28">
        <v>0</v>
      </c>
      <c r="L50" s="28"/>
      <c r="M50" s="28"/>
      <c r="N50" s="349">
        <f t="shared" si="11"/>
        <v>0</v>
      </c>
      <c r="O50" s="373">
        <f>I50+N50</f>
        <v>0</v>
      </c>
      <c r="P50" s="99"/>
      <c r="Q50" s="28">
        <v>0</v>
      </c>
      <c r="R50" s="28"/>
      <c r="S50" s="28"/>
      <c r="T50" s="349">
        <f t="shared" si="12"/>
        <v>0</v>
      </c>
      <c r="U50" s="120"/>
      <c r="V50" s="28">
        <v>0</v>
      </c>
      <c r="W50" s="28"/>
      <c r="X50" s="28"/>
      <c r="Y50" s="349">
        <f>SUM(V50:X50)</f>
        <v>0</v>
      </c>
      <c r="Z50" s="120"/>
      <c r="AA50" s="373">
        <f>T50+Y50</f>
        <v>0</v>
      </c>
      <c r="AB50" s="99"/>
      <c r="AC50" s="28">
        <v>0</v>
      </c>
      <c r="AD50" s="28"/>
      <c r="AE50" s="28"/>
      <c r="AF50" s="349">
        <f>SUM(AC50:AE50)</f>
        <v>0</v>
      </c>
      <c r="AG50" s="120"/>
      <c r="AH50" s="28">
        <v>0</v>
      </c>
      <c r="AI50" s="28"/>
      <c r="AJ50" s="28"/>
      <c r="AK50" s="349">
        <f>SUM(AH50:AJ50)</f>
        <v>0</v>
      </c>
      <c r="AL50" s="373">
        <f>AF50+AK50</f>
        <v>0</v>
      </c>
    </row>
    <row r="51" spans="1:38" s="29" customFormat="1" ht="12.75" customHeight="1">
      <c r="A51" s="25" t="s">
        <v>496</v>
      </c>
      <c r="B51" s="32" t="s">
        <v>497</v>
      </c>
      <c r="C51" s="30" t="s">
        <v>498</v>
      </c>
      <c r="D51" s="28">
        <f>O51+AA51+AL51</f>
        <v>0</v>
      </c>
      <c r="E51" s="99"/>
      <c r="F51" s="28">
        <v>0</v>
      </c>
      <c r="G51" s="28"/>
      <c r="H51" s="28"/>
      <c r="I51" s="349">
        <f t="shared" si="10"/>
        <v>0</v>
      </c>
      <c r="J51" s="120"/>
      <c r="K51" s="28">
        <v>0</v>
      </c>
      <c r="L51" s="28"/>
      <c r="M51" s="28"/>
      <c r="N51" s="349">
        <f t="shared" si="11"/>
        <v>0</v>
      </c>
      <c r="O51" s="373">
        <f>I51+N51</f>
        <v>0</v>
      </c>
      <c r="P51" s="99"/>
      <c r="Q51" s="28">
        <v>0</v>
      </c>
      <c r="R51" s="28"/>
      <c r="S51" s="28"/>
      <c r="T51" s="349">
        <f t="shared" si="12"/>
        <v>0</v>
      </c>
      <c r="U51" s="120"/>
      <c r="V51" s="28">
        <v>0</v>
      </c>
      <c r="W51" s="28"/>
      <c r="X51" s="28"/>
      <c r="Y51" s="349">
        <f>SUM(V51:X51)</f>
        <v>0</v>
      </c>
      <c r="Z51" s="120"/>
      <c r="AA51" s="373">
        <f>T51+Y51</f>
        <v>0</v>
      </c>
      <c r="AB51" s="99"/>
      <c r="AC51" s="28">
        <v>0</v>
      </c>
      <c r="AD51" s="28"/>
      <c r="AE51" s="28"/>
      <c r="AF51" s="349">
        <f>SUM(AC51:AE51)</f>
        <v>0</v>
      </c>
      <c r="AG51" s="120"/>
      <c r="AH51" s="28">
        <v>0</v>
      </c>
      <c r="AI51" s="28"/>
      <c r="AJ51" s="28"/>
      <c r="AK51" s="349">
        <f>SUM(AH51:AJ51)</f>
        <v>0</v>
      </c>
      <c r="AL51" s="373">
        <f>AF51+AK51</f>
        <v>0</v>
      </c>
    </row>
    <row r="52" spans="1:38" s="29" customFormat="1" ht="12.75" customHeight="1">
      <c r="A52" s="25" t="s">
        <v>499</v>
      </c>
      <c r="B52" s="32" t="s">
        <v>500</v>
      </c>
      <c r="C52" s="30" t="s">
        <v>501</v>
      </c>
      <c r="D52" s="28">
        <f>O52+AA52+AL52</f>
        <v>3124000</v>
      </c>
      <c r="E52" s="99"/>
      <c r="F52" s="28">
        <f>'Összesített ktgvetés'!H212</f>
        <v>2559000</v>
      </c>
      <c r="G52" s="28"/>
      <c r="H52" s="28"/>
      <c r="I52" s="349">
        <f t="shared" si="10"/>
        <v>2559000</v>
      </c>
      <c r="J52" s="120"/>
      <c r="K52" s="28">
        <f>'Összesített ktgvetés'!L212</f>
        <v>50000</v>
      </c>
      <c r="L52" s="28"/>
      <c r="M52" s="28"/>
      <c r="N52" s="349">
        <f t="shared" si="11"/>
        <v>50000</v>
      </c>
      <c r="O52" s="373">
        <f>I52+N52</f>
        <v>2609000</v>
      </c>
      <c r="P52" s="99"/>
      <c r="Q52" s="28">
        <v>0</v>
      </c>
      <c r="R52" s="28"/>
      <c r="S52" s="28"/>
      <c r="T52" s="349">
        <f t="shared" si="12"/>
        <v>0</v>
      </c>
      <c r="U52" s="120"/>
      <c r="V52" s="28">
        <f>'Összesített ktgvetés'!U212</f>
        <v>100000</v>
      </c>
      <c r="W52" s="28"/>
      <c r="X52" s="28"/>
      <c r="Y52" s="349">
        <f>SUM(V52:X52)</f>
        <v>100000</v>
      </c>
      <c r="Z52" s="120"/>
      <c r="AA52" s="373">
        <f>T52+Y52</f>
        <v>100000</v>
      </c>
      <c r="AB52" s="99"/>
      <c r="AC52" s="28">
        <v>0</v>
      </c>
      <c r="AD52" s="28"/>
      <c r="AE52" s="28"/>
      <c r="AF52" s="349">
        <f>SUM(AC52:AE52)</f>
        <v>0</v>
      </c>
      <c r="AG52" s="120"/>
      <c r="AH52" s="28">
        <f>'Összesített ktgvetés'!AD221</f>
        <v>415000</v>
      </c>
      <c r="AI52" s="28"/>
      <c r="AJ52" s="28"/>
      <c r="AK52" s="349">
        <f>SUM(AH52:AJ52)</f>
        <v>415000</v>
      </c>
      <c r="AL52" s="373">
        <f>AF52+AK52</f>
        <v>415000</v>
      </c>
    </row>
    <row r="53" spans="1:38" s="98" customFormat="1" ht="12.75" customHeight="1">
      <c r="A53" s="110" t="s">
        <v>502</v>
      </c>
      <c r="B53" s="96" t="s">
        <v>503</v>
      </c>
      <c r="C53" s="112" t="s">
        <v>504</v>
      </c>
      <c r="D53" s="56">
        <f>SUM(D48:D52)</f>
        <v>14796000</v>
      </c>
      <c r="F53" s="56">
        <f>SUM(F48:F52)</f>
        <v>5067000</v>
      </c>
      <c r="G53" s="56">
        <f>SUM(G48:G52)</f>
        <v>0</v>
      </c>
      <c r="H53" s="56">
        <f>SUM(H48:H52)</f>
        <v>0</v>
      </c>
      <c r="I53" s="56">
        <f>SUM(I48:I52)</f>
        <v>5067000</v>
      </c>
      <c r="J53" s="362"/>
      <c r="K53" s="56">
        <f>SUM(K48:K52)</f>
        <v>980000</v>
      </c>
      <c r="L53" s="56">
        <f>SUM(L48:L52)</f>
        <v>0</v>
      </c>
      <c r="M53" s="56">
        <f>SUM(M48:M52)</f>
        <v>0</v>
      </c>
      <c r="N53" s="56">
        <f>SUM(N48:N52)</f>
        <v>980000</v>
      </c>
      <c r="O53" s="56">
        <f>SUM(O48:O52)</f>
        <v>6047000</v>
      </c>
      <c r="Q53" s="56">
        <f>SUM(Q48:Q52)</f>
        <v>2842000</v>
      </c>
      <c r="R53" s="56">
        <f>SUM(R48:R52)</f>
        <v>0</v>
      </c>
      <c r="S53" s="56">
        <f>SUM(S48:S52)</f>
        <v>0</v>
      </c>
      <c r="T53" s="56">
        <f>SUM(T48:T52)</f>
        <v>2842000</v>
      </c>
      <c r="U53" s="362"/>
      <c r="V53" s="56">
        <f>SUM(V48:V52)</f>
        <v>940000</v>
      </c>
      <c r="W53" s="56">
        <f>SUM(W48:W52)</f>
        <v>0</v>
      </c>
      <c r="X53" s="56">
        <f>SUM(X48:X52)</f>
        <v>0</v>
      </c>
      <c r="Y53" s="56">
        <f>SUM(Y48:Y52)</f>
        <v>940000</v>
      </c>
      <c r="Z53" s="362"/>
      <c r="AA53" s="56">
        <f>SUM(AA48:AA52)</f>
        <v>3782000</v>
      </c>
      <c r="AC53" s="56">
        <f>SUM(AC48:AC52)</f>
        <v>2281000</v>
      </c>
      <c r="AD53" s="56">
        <f>SUM(AD48:AD52)</f>
        <v>0</v>
      </c>
      <c r="AE53" s="56">
        <f>SUM(AE48:AE52)</f>
        <v>0</v>
      </c>
      <c r="AF53" s="56">
        <f>SUM(AF48:AF52)</f>
        <v>2281000</v>
      </c>
      <c r="AG53" s="362"/>
      <c r="AH53" s="56">
        <f>SUM(AH48:AH52)</f>
        <v>2686000</v>
      </c>
      <c r="AI53" s="56">
        <f>SUM(AI48:AI52)</f>
        <v>0</v>
      </c>
      <c r="AJ53" s="56">
        <f>SUM(AJ48:AJ52)</f>
        <v>0</v>
      </c>
      <c r="AK53" s="56">
        <f>SUM(AK48:AK52)</f>
        <v>2686000</v>
      </c>
      <c r="AL53" s="56">
        <f>SUM(AL48:AL52)</f>
        <v>4967000</v>
      </c>
    </row>
    <row r="54" spans="1:38" ht="12.75" customHeight="1">
      <c r="A54" s="35" t="s">
        <v>505</v>
      </c>
      <c r="B54" s="39" t="s">
        <v>506</v>
      </c>
      <c r="C54" s="37" t="s">
        <v>507</v>
      </c>
      <c r="D54" s="101">
        <f>D53+D47+D44+D36+D33</f>
        <v>73817000</v>
      </c>
      <c r="F54" s="101">
        <f>F53+F47+F44+F36+F33</f>
        <v>17284000</v>
      </c>
      <c r="G54" s="101">
        <f>G53+G47+G44+G36+G33</f>
        <v>0</v>
      </c>
      <c r="H54" s="101">
        <f>H53+H47+H44+H36+H33</f>
        <v>0</v>
      </c>
      <c r="I54" s="101">
        <f>I53+I47+I44+I36+I33</f>
        <v>17284000</v>
      </c>
      <c r="J54" s="366"/>
      <c r="K54" s="101">
        <f>K53+K47+K44+K36+K33</f>
        <v>4968000</v>
      </c>
      <c r="L54" s="101">
        <f>L53+L47+L44+L36+L33</f>
        <v>0</v>
      </c>
      <c r="M54" s="101">
        <f>M53+M47+M44+M36+M33</f>
        <v>0</v>
      </c>
      <c r="N54" s="101">
        <f>N53+N47+N44+N36+N33</f>
        <v>4968000</v>
      </c>
      <c r="O54" s="101">
        <f>O53+O47+O44+O36+O33</f>
        <v>22252000</v>
      </c>
      <c r="Q54" s="101">
        <f>Q53+Q47+Q44+Q36+Q33</f>
        <v>14176000</v>
      </c>
      <c r="R54" s="101">
        <f>R53+R47+R44+R36+R33</f>
        <v>0</v>
      </c>
      <c r="S54" s="101">
        <f>S53+S47+S44+S36+S33</f>
        <v>0</v>
      </c>
      <c r="T54" s="101">
        <f>T53+T47+T44+T36+T33</f>
        <v>14176000</v>
      </c>
      <c r="U54" s="366"/>
      <c r="V54" s="101">
        <f>V53+V47+V44+V36+V33</f>
        <v>4160000</v>
      </c>
      <c r="W54" s="101">
        <f>W53+W47+W44+W36+W33</f>
        <v>0</v>
      </c>
      <c r="X54" s="101">
        <f>X53+X47+X44+X36+X33</f>
        <v>0</v>
      </c>
      <c r="Y54" s="101">
        <f>Y53+Y47+Y44+Y36+Y33</f>
        <v>4160000</v>
      </c>
      <c r="Z54" s="366"/>
      <c r="AA54" s="101">
        <f>AA53+AA47+AA44+AA36+AA33</f>
        <v>18336000</v>
      </c>
      <c r="AC54" s="101">
        <f>AC53+AC47+AC44+AC36+AC33</f>
        <v>16855000</v>
      </c>
      <c r="AD54" s="101">
        <f>AD53+AD47+AD44+AD36+AD33</f>
        <v>0</v>
      </c>
      <c r="AE54" s="101">
        <f>AE53+AE47+AE44+AE36+AE33</f>
        <v>0</v>
      </c>
      <c r="AF54" s="101">
        <f>AF53+AF47+AF44+AF36+AF33</f>
        <v>16855000</v>
      </c>
      <c r="AG54" s="366"/>
      <c r="AH54" s="101">
        <f>AH53+AH47+AH44+AH36+AH33</f>
        <v>16374000</v>
      </c>
      <c r="AI54" s="101">
        <f>AI53+AI47+AI44+AI36+AI33</f>
        <v>0</v>
      </c>
      <c r="AJ54" s="101">
        <f>AJ53+AJ47+AJ44+AJ36+AJ33</f>
        <v>0</v>
      </c>
      <c r="AK54" s="101">
        <f>AK53+AK47+AK44+AK36+AK33</f>
        <v>16374000</v>
      </c>
      <c r="AL54" s="101">
        <f>AL53+AL47+AL44+AL36+AL33</f>
        <v>33229000</v>
      </c>
    </row>
    <row r="55" spans="1:38" s="29" customFormat="1" ht="12.75" customHeight="1" hidden="1">
      <c r="A55" s="25" t="s">
        <v>508</v>
      </c>
      <c r="B55" s="42" t="s">
        <v>509</v>
      </c>
      <c r="C55" s="30" t="s">
        <v>510</v>
      </c>
      <c r="D55" s="343">
        <f aca="true" t="shared" si="20" ref="D55:D62">O55+AA55+AL55</f>
        <v>0</v>
      </c>
      <c r="E55" s="99"/>
      <c r="F55" s="343"/>
      <c r="G55" s="343"/>
      <c r="H55" s="343"/>
      <c r="I55" s="349">
        <f t="shared" si="10"/>
        <v>0</v>
      </c>
      <c r="J55" s="120"/>
      <c r="K55" s="343"/>
      <c r="L55" s="343"/>
      <c r="M55" s="343"/>
      <c r="N55" s="349">
        <f t="shared" si="11"/>
        <v>0</v>
      </c>
      <c r="O55" s="373">
        <f aca="true" t="shared" si="21" ref="O55:O62">I55+N55</f>
        <v>0</v>
      </c>
      <c r="P55" s="99"/>
      <c r="Q55" s="343"/>
      <c r="R55" s="343"/>
      <c r="S55" s="343"/>
      <c r="T55" s="349">
        <f t="shared" si="12"/>
        <v>0</v>
      </c>
      <c r="U55" s="120"/>
      <c r="V55" s="343"/>
      <c r="W55" s="343"/>
      <c r="X55" s="343"/>
      <c r="Y55" s="349">
        <f aca="true" t="shared" si="22" ref="Y55:Y62">SUM(V55:X55)</f>
        <v>0</v>
      </c>
      <c r="Z55" s="120"/>
      <c r="AA55" s="373">
        <f aca="true" t="shared" si="23" ref="AA55:AA62">T55+Y55</f>
        <v>0</v>
      </c>
      <c r="AB55" s="99"/>
      <c r="AC55" s="343"/>
      <c r="AD55" s="343"/>
      <c r="AE55" s="343"/>
      <c r="AF55" s="349">
        <f aca="true" t="shared" si="24" ref="AF55:AF62">SUM(AC55:AE55)</f>
        <v>0</v>
      </c>
      <c r="AG55" s="120"/>
      <c r="AH55" s="343"/>
      <c r="AI55" s="343"/>
      <c r="AJ55" s="343"/>
      <c r="AK55" s="349">
        <f aca="true" t="shared" si="25" ref="AK55:AK62">SUM(AH55:AJ55)</f>
        <v>0</v>
      </c>
      <c r="AL55" s="373">
        <f aca="true" t="shared" si="26" ref="AL55:AL62">AF55+AK55</f>
        <v>0</v>
      </c>
    </row>
    <row r="56" spans="1:38" s="29" customFormat="1" ht="12.75" customHeight="1" hidden="1">
      <c r="A56" s="25" t="s">
        <v>511</v>
      </c>
      <c r="B56" s="42" t="s">
        <v>512</v>
      </c>
      <c r="C56" s="30" t="s">
        <v>513</v>
      </c>
      <c r="D56" s="343">
        <f t="shared" si="20"/>
        <v>0</v>
      </c>
      <c r="E56" s="99"/>
      <c r="F56" s="343"/>
      <c r="G56" s="343"/>
      <c r="H56" s="343"/>
      <c r="I56" s="349">
        <f t="shared" si="10"/>
        <v>0</v>
      </c>
      <c r="J56" s="120"/>
      <c r="K56" s="343"/>
      <c r="L56" s="343"/>
      <c r="M56" s="343"/>
      <c r="N56" s="349">
        <f t="shared" si="11"/>
        <v>0</v>
      </c>
      <c r="O56" s="373">
        <f t="shared" si="21"/>
        <v>0</v>
      </c>
      <c r="P56" s="99"/>
      <c r="Q56" s="343"/>
      <c r="R56" s="343"/>
      <c r="S56" s="343"/>
      <c r="T56" s="349">
        <f t="shared" si="12"/>
        <v>0</v>
      </c>
      <c r="U56" s="120"/>
      <c r="V56" s="343"/>
      <c r="W56" s="343"/>
      <c r="X56" s="343"/>
      <c r="Y56" s="349">
        <f t="shared" si="22"/>
        <v>0</v>
      </c>
      <c r="Z56" s="120"/>
      <c r="AA56" s="373">
        <f t="shared" si="23"/>
        <v>0</v>
      </c>
      <c r="AB56" s="99"/>
      <c r="AC56" s="343"/>
      <c r="AD56" s="343"/>
      <c r="AE56" s="343"/>
      <c r="AF56" s="349">
        <f t="shared" si="24"/>
        <v>0</v>
      </c>
      <c r="AG56" s="120"/>
      <c r="AH56" s="343"/>
      <c r="AI56" s="343"/>
      <c r="AJ56" s="343"/>
      <c r="AK56" s="349">
        <f t="shared" si="25"/>
        <v>0</v>
      </c>
      <c r="AL56" s="373">
        <f t="shared" si="26"/>
        <v>0</v>
      </c>
    </row>
    <row r="57" spans="1:38" s="29" customFormat="1" ht="12.75" customHeight="1" hidden="1">
      <c r="A57" s="25" t="s">
        <v>514</v>
      </c>
      <c r="B57" s="43" t="s">
        <v>515</v>
      </c>
      <c r="C57" s="30" t="s">
        <v>516</v>
      </c>
      <c r="D57" s="343">
        <f t="shared" si="20"/>
        <v>0</v>
      </c>
      <c r="E57" s="99"/>
      <c r="F57" s="343"/>
      <c r="G57" s="343"/>
      <c r="H57" s="343"/>
      <c r="I57" s="349">
        <f t="shared" si="10"/>
        <v>0</v>
      </c>
      <c r="J57" s="120"/>
      <c r="K57" s="343"/>
      <c r="L57" s="343"/>
      <c r="M57" s="343"/>
      <c r="N57" s="349">
        <f t="shared" si="11"/>
        <v>0</v>
      </c>
      <c r="O57" s="373">
        <f t="shared" si="21"/>
        <v>0</v>
      </c>
      <c r="P57" s="99"/>
      <c r="Q57" s="343"/>
      <c r="R57" s="343"/>
      <c r="S57" s="343"/>
      <c r="T57" s="349">
        <f t="shared" si="12"/>
        <v>0</v>
      </c>
      <c r="U57" s="120"/>
      <c r="V57" s="343"/>
      <c r="W57" s="343"/>
      <c r="X57" s="343"/>
      <c r="Y57" s="349">
        <f t="shared" si="22"/>
        <v>0</v>
      </c>
      <c r="Z57" s="120"/>
      <c r="AA57" s="373">
        <f t="shared" si="23"/>
        <v>0</v>
      </c>
      <c r="AB57" s="99"/>
      <c r="AC57" s="343"/>
      <c r="AD57" s="343"/>
      <c r="AE57" s="343"/>
      <c r="AF57" s="349">
        <f t="shared" si="24"/>
        <v>0</v>
      </c>
      <c r="AG57" s="120"/>
      <c r="AH57" s="343"/>
      <c r="AI57" s="343"/>
      <c r="AJ57" s="343"/>
      <c r="AK57" s="349">
        <f t="shared" si="25"/>
        <v>0</v>
      </c>
      <c r="AL57" s="373">
        <f t="shared" si="26"/>
        <v>0</v>
      </c>
    </row>
    <row r="58" spans="1:38" s="29" customFormat="1" ht="12.75" customHeight="1" hidden="1">
      <c r="A58" s="25" t="s">
        <v>517</v>
      </c>
      <c r="B58" s="43" t="s">
        <v>518</v>
      </c>
      <c r="C58" s="30" t="s">
        <v>519</v>
      </c>
      <c r="D58" s="343">
        <f t="shared" si="20"/>
        <v>0</v>
      </c>
      <c r="E58" s="99"/>
      <c r="F58" s="343"/>
      <c r="G58" s="343"/>
      <c r="H58" s="343"/>
      <c r="I58" s="349">
        <f t="shared" si="10"/>
        <v>0</v>
      </c>
      <c r="J58" s="120"/>
      <c r="K58" s="343"/>
      <c r="L58" s="343"/>
      <c r="M58" s="343"/>
      <c r="N58" s="349">
        <f t="shared" si="11"/>
        <v>0</v>
      </c>
      <c r="O58" s="373">
        <f t="shared" si="21"/>
        <v>0</v>
      </c>
      <c r="P58" s="99"/>
      <c r="Q58" s="343"/>
      <c r="R58" s="343"/>
      <c r="S58" s="343"/>
      <c r="T58" s="349">
        <f t="shared" si="12"/>
        <v>0</v>
      </c>
      <c r="U58" s="120"/>
      <c r="V58" s="343"/>
      <c r="W58" s="343"/>
      <c r="X58" s="343"/>
      <c r="Y58" s="349">
        <f t="shared" si="22"/>
        <v>0</v>
      </c>
      <c r="Z58" s="120"/>
      <c r="AA58" s="373">
        <f t="shared" si="23"/>
        <v>0</v>
      </c>
      <c r="AB58" s="99"/>
      <c r="AC58" s="343"/>
      <c r="AD58" s="343"/>
      <c r="AE58" s="343"/>
      <c r="AF58" s="349">
        <f t="shared" si="24"/>
        <v>0</v>
      </c>
      <c r="AG58" s="120"/>
      <c r="AH58" s="343"/>
      <c r="AI58" s="343"/>
      <c r="AJ58" s="343"/>
      <c r="AK58" s="349">
        <f t="shared" si="25"/>
        <v>0</v>
      </c>
      <c r="AL58" s="373">
        <f t="shared" si="26"/>
        <v>0</v>
      </c>
    </row>
    <row r="59" spans="1:38" s="29" customFormat="1" ht="12.75" customHeight="1" hidden="1">
      <c r="A59" s="25" t="s">
        <v>520</v>
      </c>
      <c r="B59" s="43" t="s">
        <v>521</v>
      </c>
      <c r="C59" s="30" t="s">
        <v>522</v>
      </c>
      <c r="D59" s="343">
        <f t="shared" si="20"/>
        <v>0</v>
      </c>
      <c r="E59" s="99"/>
      <c r="F59" s="343"/>
      <c r="G59" s="343"/>
      <c r="H59" s="343"/>
      <c r="I59" s="349">
        <f t="shared" si="10"/>
        <v>0</v>
      </c>
      <c r="J59" s="120"/>
      <c r="K59" s="343"/>
      <c r="L59" s="343"/>
      <c r="M59" s="343"/>
      <c r="N59" s="349">
        <f t="shared" si="11"/>
        <v>0</v>
      </c>
      <c r="O59" s="373">
        <f t="shared" si="21"/>
        <v>0</v>
      </c>
      <c r="P59" s="99"/>
      <c r="Q59" s="343"/>
      <c r="R59" s="343"/>
      <c r="S59" s="343"/>
      <c r="T59" s="349">
        <f t="shared" si="12"/>
        <v>0</v>
      </c>
      <c r="U59" s="120"/>
      <c r="V59" s="343"/>
      <c r="W59" s="343"/>
      <c r="X59" s="343"/>
      <c r="Y59" s="349">
        <f t="shared" si="22"/>
        <v>0</v>
      </c>
      <c r="Z59" s="120"/>
      <c r="AA59" s="373">
        <f t="shared" si="23"/>
        <v>0</v>
      </c>
      <c r="AB59" s="99"/>
      <c r="AC59" s="343"/>
      <c r="AD59" s="343"/>
      <c r="AE59" s="343"/>
      <c r="AF59" s="349">
        <f t="shared" si="24"/>
        <v>0</v>
      </c>
      <c r="AG59" s="120"/>
      <c r="AH59" s="343"/>
      <c r="AI59" s="343"/>
      <c r="AJ59" s="343"/>
      <c r="AK59" s="349">
        <f t="shared" si="25"/>
        <v>0</v>
      </c>
      <c r="AL59" s="373">
        <f t="shared" si="26"/>
        <v>0</v>
      </c>
    </row>
    <row r="60" spans="1:38" s="29" customFormat="1" ht="12.75" customHeight="1" hidden="1">
      <c r="A60" s="25" t="s">
        <v>523</v>
      </c>
      <c r="B60" s="42" t="s">
        <v>524</v>
      </c>
      <c r="C60" s="30" t="s">
        <v>525</v>
      </c>
      <c r="D60" s="343">
        <f t="shared" si="20"/>
        <v>0</v>
      </c>
      <c r="E60" s="99"/>
      <c r="F60" s="343"/>
      <c r="G60" s="343"/>
      <c r="H60" s="343"/>
      <c r="I60" s="349">
        <f t="shared" si="10"/>
        <v>0</v>
      </c>
      <c r="J60" s="120"/>
      <c r="K60" s="343"/>
      <c r="L60" s="343"/>
      <c r="M60" s="343"/>
      <c r="N60" s="349">
        <f t="shared" si="11"/>
        <v>0</v>
      </c>
      <c r="O60" s="373">
        <f t="shared" si="21"/>
        <v>0</v>
      </c>
      <c r="P60" s="99"/>
      <c r="Q60" s="343"/>
      <c r="R60" s="343"/>
      <c r="S60" s="343"/>
      <c r="T60" s="349">
        <f t="shared" si="12"/>
        <v>0</v>
      </c>
      <c r="U60" s="120"/>
      <c r="V60" s="343"/>
      <c r="W60" s="343"/>
      <c r="X60" s="343"/>
      <c r="Y60" s="349">
        <f t="shared" si="22"/>
        <v>0</v>
      </c>
      <c r="Z60" s="120"/>
      <c r="AA60" s="373">
        <f t="shared" si="23"/>
        <v>0</v>
      </c>
      <c r="AB60" s="99"/>
      <c r="AC60" s="343"/>
      <c r="AD60" s="343"/>
      <c r="AE60" s="343"/>
      <c r="AF60" s="349">
        <f t="shared" si="24"/>
        <v>0</v>
      </c>
      <c r="AG60" s="120"/>
      <c r="AH60" s="343"/>
      <c r="AI60" s="343"/>
      <c r="AJ60" s="343"/>
      <c r="AK60" s="349">
        <f t="shared" si="25"/>
        <v>0</v>
      </c>
      <c r="AL60" s="373">
        <f t="shared" si="26"/>
        <v>0</v>
      </c>
    </row>
    <row r="61" spans="1:38" s="29" customFormat="1" ht="12.75" customHeight="1" hidden="1">
      <c r="A61" s="25" t="s">
        <v>526</v>
      </c>
      <c r="B61" s="42" t="s">
        <v>527</v>
      </c>
      <c r="C61" s="30" t="s">
        <v>528</v>
      </c>
      <c r="D61" s="44">
        <f t="shared" si="20"/>
        <v>0</v>
      </c>
      <c r="E61" s="99"/>
      <c r="F61" s="44"/>
      <c r="G61" s="44"/>
      <c r="H61" s="44"/>
      <c r="I61" s="349">
        <f t="shared" si="10"/>
        <v>0</v>
      </c>
      <c r="J61" s="120"/>
      <c r="K61" s="44"/>
      <c r="L61" s="44"/>
      <c r="M61" s="44"/>
      <c r="N61" s="349">
        <f t="shared" si="11"/>
        <v>0</v>
      </c>
      <c r="O61" s="373">
        <f t="shared" si="21"/>
        <v>0</v>
      </c>
      <c r="P61" s="99"/>
      <c r="Q61" s="28">
        <v>0</v>
      </c>
      <c r="R61" s="44"/>
      <c r="S61" s="44"/>
      <c r="T61" s="349">
        <f t="shared" si="12"/>
        <v>0</v>
      </c>
      <c r="U61" s="120"/>
      <c r="V61" s="28">
        <v>0</v>
      </c>
      <c r="W61" s="44"/>
      <c r="X61" s="44"/>
      <c r="Y61" s="349">
        <f t="shared" si="22"/>
        <v>0</v>
      </c>
      <c r="Z61" s="120"/>
      <c r="AA61" s="373">
        <f t="shared" si="23"/>
        <v>0</v>
      </c>
      <c r="AB61" s="99"/>
      <c r="AC61" s="28">
        <v>0</v>
      </c>
      <c r="AD61" s="44"/>
      <c r="AE61" s="44"/>
      <c r="AF61" s="349">
        <f t="shared" si="24"/>
        <v>0</v>
      </c>
      <c r="AG61" s="120"/>
      <c r="AH61" s="28">
        <v>0</v>
      </c>
      <c r="AI61" s="44"/>
      <c r="AJ61" s="44"/>
      <c r="AK61" s="349">
        <f t="shared" si="25"/>
        <v>0</v>
      </c>
      <c r="AL61" s="373">
        <f t="shared" si="26"/>
        <v>0</v>
      </c>
    </row>
    <row r="62" spans="1:38" s="29" customFormat="1" ht="12.75" customHeight="1" hidden="1">
      <c r="A62" s="25" t="s">
        <v>529</v>
      </c>
      <c r="B62" s="42" t="s">
        <v>530</v>
      </c>
      <c r="C62" s="30" t="s">
        <v>531</v>
      </c>
      <c r="D62" s="343">
        <f t="shared" si="20"/>
        <v>0</v>
      </c>
      <c r="E62" s="99"/>
      <c r="F62" s="343"/>
      <c r="G62" s="343"/>
      <c r="H62" s="343"/>
      <c r="I62" s="349">
        <f t="shared" si="10"/>
        <v>0</v>
      </c>
      <c r="J62" s="120"/>
      <c r="K62" s="343"/>
      <c r="L62" s="343"/>
      <c r="M62" s="343"/>
      <c r="N62" s="349">
        <f t="shared" si="11"/>
        <v>0</v>
      </c>
      <c r="O62" s="373">
        <f t="shared" si="21"/>
        <v>0</v>
      </c>
      <c r="P62" s="99"/>
      <c r="Q62" s="343"/>
      <c r="R62" s="343"/>
      <c r="S62" s="343"/>
      <c r="T62" s="349">
        <f t="shared" si="12"/>
        <v>0</v>
      </c>
      <c r="U62" s="120"/>
      <c r="V62" s="343"/>
      <c r="W62" s="343"/>
      <c r="X62" s="343"/>
      <c r="Y62" s="349">
        <f t="shared" si="22"/>
        <v>0</v>
      </c>
      <c r="Z62" s="120"/>
      <c r="AA62" s="373">
        <f t="shared" si="23"/>
        <v>0</v>
      </c>
      <c r="AB62" s="99"/>
      <c r="AC62" s="343"/>
      <c r="AD62" s="343"/>
      <c r="AE62" s="343"/>
      <c r="AF62" s="349">
        <f t="shared" si="24"/>
        <v>0</v>
      </c>
      <c r="AG62" s="120"/>
      <c r="AH62" s="343"/>
      <c r="AI62" s="343"/>
      <c r="AJ62" s="343"/>
      <c r="AK62" s="349">
        <f t="shared" si="25"/>
        <v>0</v>
      </c>
      <c r="AL62" s="373">
        <f t="shared" si="26"/>
        <v>0</v>
      </c>
    </row>
    <row r="63" spans="1:38" ht="12.75" customHeight="1">
      <c r="A63" s="35" t="s">
        <v>532</v>
      </c>
      <c r="B63" s="45" t="s">
        <v>533</v>
      </c>
      <c r="C63" s="37" t="s">
        <v>534</v>
      </c>
      <c r="D63" s="101">
        <f>SUM(D55:D62)</f>
        <v>0</v>
      </c>
      <c r="F63" s="101">
        <f>SUM(F55:F62)</f>
        <v>0</v>
      </c>
      <c r="G63" s="101">
        <f>SUM(G55:G62)</f>
        <v>0</v>
      </c>
      <c r="H63" s="101">
        <f>SUM(H55:H62)</f>
        <v>0</v>
      </c>
      <c r="I63" s="101">
        <f>SUM(I55:I62)</f>
        <v>0</v>
      </c>
      <c r="J63" s="366"/>
      <c r="K63" s="101">
        <f>SUM(K55:K62)</f>
        <v>0</v>
      </c>
      <c r="L63" s="101">
        <f>SUM(L55:L62)</f>
        <v>0</v>
      </c>
      <c r="M63" s="101">
        <f>SUM(M55:M62)</f>
        <v>0</v>
      </c>
      <c r="N63" s="101">
        <f>SUM(N55:N62)</f>
        <v>0</v>
      </c>
      <c r="O63" s="101">
        <f>SUM(O55:O62)</f>
        <v>0</v>
      </c>
      <c r="Q63" s="101">
        <f>SUM(Q55:Q62)</f>
        <v>0</v>
      </c>
      <c r="R63" s="101">
        <f>SUM(R55:R62)</f>
        <v>0</v>
      </c>
      <c r="S63" s="101">
        <f>SUM(S55:S62)</f>
        <v>0</v>
      </c>
      <c r="T63" s="101">
        <f>SUM(T55:T62)</f>
        <v>0</v>
      </c>
      <c r="U63" s="366"/>
      <c r="V63" s="101">
        <f>SUM(V55:V62)</f>
        <v>0</v>
      </c>
      <c r="W63" s="101">
        <f>SUM(W55:W62)</f>
        <v>0</v>
      </c>
      <c r="X63" s="101">
        <f>SUM(X55:X62)</f>
        <v>0</v>
      </c>
      <c r="Y63" s="101">
        <f>SUM(Y55:Y62)</f>
        <v>0</v>
      </c>
      <c r="Z63" s="366"/>
      <c r="AA63" s="101">
        <f>SUM(AA55:AA62)</f>
        <v>0</v>
      </c>
      <c r="AC63" s="101">
        <f>SUM(AC55:AC62)</f>
        <v>0</v>
      </c>
      <c r="AD63" s="101">
        <f>SUM(AD55:AD62)</f>
        <v>0</v>
      </c>
      <c r="AE63" s="101">
        <f>SUM(AE55:AE62)</f>
        <v>0</v>
      </c>
      <c r="AF63" s="101">
        <f>SUM(AF55:AF62)</f>
        <v>0</v>
      </c>
      <c r="AG63" s="366"/>
      <c r="AH63" s="101">
        <f>SUM(AH55:AH62)</f>
        <v>0</v>
      </c>
      <c r="AI63" s="101">
        <f>SUM(AI55:AI62)</f>
        <v>0</v>
      </c>
      <c r="AJ63" s="101">
        <f>SUM(AJ55:AJ62)</f>
        <v>0</v>
      </c>
      <c r="AK63" s="101">
        <f>SUM(AK55:AK62)</f>
        <v>0</v>
      </c>
      <c r="AL63" s="101">
        <f>SUM(AL55:AL62)</f>
        <v>0</v>
      </c>
    </row>
    <row r="64" spans="1:38" s="98" customFormat="1" ht="12.75" customHeight="1">
      <c r="A64" s="110" t="s">
        <v>535</v>
      </c>
      <c r="B64" s="115" t="s">
        <v>536</v>
      </c>
      <c r="C64" s="112" t="s">
        <v>537</v>
      </c>
      <c r="D64" s="371">
        <v>0</v>
      </c>
      <c r="F64" s="371">
        <v>0</v>
      </c>
      <c r="G64" s="371">
        <v>0</v>
      </c>
      <c r="H64" s="371">
        <v>0</v>
      </c>
      <c r="I64" s="371">
        <f t="shared" si="10"/>
        <v>0</v>
      </c>
      <c r="J64" s="368"/>
      <c r="K64" s="371">
        <v>0</v>
      </c>
      <c r="L64" s="371">
        <v>0</v>
      </c>
      <c r="M64" s="371">
        <v>0</v>
      </c>
      <c r="N64" s="371">
        <f t="shared" si="11"/>
        <v>0</v>
      </c>
      <c r="O64" s="371">
        <v>0</v>
      </c>
      <c r="Q64" s="371">
        <v>0</v>
      </c>
      <c r="R64" s="371">
        <v>0</v>
      </c>
      <c r="S64" s="371">
        <v>0</v>
      </c>
      <c r="T64" s="371">
        <f t="shared" si="12"/>
        <v>0</v>
      </c>
      <c r="U64" s="368"/>
      <c r="V64" s="371">
        <v>0</v>
      </c>
      <c r="W64" s="371">
        <v>0</v>
      </c>
      <c r="X64" s="371">
        <v>0</v>
      </c>
      <c r="Y64" s="371">
        <f>SUM(V64:X64)</f>
        <v>0</v>
      </c>
      <c r="Z64" s="368"/>
      <c r="AA64" s="371">
        <v>0</v>
      </c>
      <c r="AC64" s="371">
        <v>0</v>
      </c>
      <c r="AD64" s="371">
        <v>0</v>
      </c>
      <c r="AE64" s="371">
        <v>0</v>
      </c>
      <c r="AF64" s="371">
        <f>SUM(AC64:AE64)</f>
        <v>0</v>
      </c>
      <c r="AG64" s="368"/>
      <c r="AH64" s="371">
        <v>0</v>
      </c>
      <c r="AI64" s="371">
        <v>0</v>
      </c>
      <c r="AJ64" s="371">
        <v>0</v>
      </c>
      <c r="AK64" s="371">
        <f>SUM(AH64:AJ64)</f>
        <v>0</v>
      </c>
      <c r="AL64" s="371">
        <v>0</v>
      </c>
    </row>
    <row r="65" spans="1:38" s="99" customFormat="1" ht="12.75" customHeight="1" hidden="1">
      <c r="A65" s="121">
        <v>56</v>
      </c>
      <c r="B65" s="122" t="s">
        <v>538</v>
      </c>
      <c r="C65" s="123" t="s">
        <v>539</v>
      </c>
      <c r="D65" s="44">
        <f>O65+AA65+AL65</f>
        <v>0</v>
      </c>
      <c r="F65" s="44"/>
      <c r="G65" s="44"/>
      <c r="H65" s="44"/>
      <c r="I65" s="349">
        <f t="shared" si="10"/>
        <v>0</v>
      </c>
      <c r="J65" s="120"/>
      <c r="K65" s="44"/>
      <c r="L65" s="44"/>
      <c r="M65" s="44"/>
      <c r="N65" s="349">
        <f t="shared" si="11"/>
        <v>0</v>
      </c>
      <c r="O65" s="373">
        <f>I65+N65</f>
        <v>0</v>
      </c>
      <c r="Q65" s="44"/>
      <c r="R65" s="44"/>
      <c r="S65" s="44"/>
      <c r="T65" s="349">
        <f t="shared" si="12"/>
        <v>0</v>
      </c>
      <c r="U65" s="120"/>
      <c r="V65" s="28">
        <v>0</v>
      </c>
      <c r="W65" s="44"/>
      <c r="X65" s="44"/>
      <c r="Y65" s="349">
        <f>SUM(V65:X65)</f>
        <v>0</v>
      </c>
      <c r="Z65" s="120"/>
      <c r="AA65" s="373">
        <f>T65+Y65</f>
        <v>0</v>
      </c>
      <c r="AC65" s="28">
        <v>0</v>
      </c>
      <c r="AD65" s="44"/>
      <c r="AE65" s="44"/>
      <c r="AF65" s="349">
        <f>SUM(AC65:AE65)</f>
        <v>0</v>
      </c>
      <c r="AG65" s="120"/>
      <c r="AH65" s="28">
        <v>0</v>
      </c>
      <c r="AI65" s="44"/>
      <c r="AJ65" s="44"/>
      <c r="AK65" s="349">
        <f>SUM(AH65:AJ65)</f>
        <v>0</v>
      </c>
      <c r="AL65" s="373">
        <f>AF65+AK65</f>
        <v>0</v>
      </c>
    </row>
    <row r="66" spans="1:38" s="99" customFormat="1" ht="12.75" customHeight="1" hidden="1">
      <c r="A66" s="121">
        <v>57</v>
      </c>
      <c r="B66" s="122" t="s">
        <v>540</v>
      </c>
      <c r="C66" s="123" t="s">
        <v>541</v>
      </c>
      <c r="D66" s="44">
        <f>O66+AA66+AL66</f>
        <v>0</v>
      </c>
      <c r="F66" s="44"/>
      <c r="G66" s="44"/>
      <c r="H66" s="44"/>
      <c r="I66" s="349">
        <f t="shared" si="10"/>
        <v>0</v>
      </c>
      <c r="J66" s="120"/>
      <c r="K66" s="44"/>
      <c r="L66" s="44"/>
      <c r="M66" s="44"/>
      <c r="N66" s="349">
        <f t="shared" si="11"/>
        <v>0</v>
      </c>
      <c r="O66" s="373">
        <f>I66+N66</f>
        <v>0</v>
      </c>
      <c r="Q66" s="44"/>
      <c r="R66" s="44"/>
      <c r="S66" s="44"/>
      <c r="T66" s="349">
        <f t="shared" si="12"/>
        <v>0</v>
      </c>
      <c r="U66" s="120"/>
      <c r="V66" s="28">
        <v>0</v>
      </c>
      <c r="W66" s="44"/>
      <c r="X66" s="44"/>
      <c r="Y66" s="349">
        <f>SUM(V66:X66)</f>
        <v>0</v>
      </c>
      <c r="Z66" s="120"/>
      <c r="AA66" s="373">
        <f>T66+Y66</f>
        <v>0</v>
      </c>
      <c r="AC66" s="28">
        <v>0</v>
      </c>
      <c r="AD66" s="44"/>
      <c r="AE66" s="44"/>
      <c r="AF66" s="349">
        <f>SUM(AC66:AE66)</f>
        <v>0</v>
      </c>
      <c r="AG66" s="120"/>
      <c r="AH66" s="28">
        <v>0</v>
      </c>
      <c r="AI66" s="44"/>
      <c r="AJ66" s="44"/>
      <c r="AK66" s="349">
        <f>SUM(AH66:AJ66)</f>
        <v>0</v>
      </c>
      <c r="AL66" s="373">
        <f>AF66+AK66</f>
        <v>0</v>
      </c>
    </row>
    <row r="67" spans="1:38" s="99" customFormat="1" ht="12.75" customHeight="1">
      <c r="A67" s="121">
        <v>58</v>
      </c>
      <c r="B67" s="122" t="s">
        <v>542</v>
      </c>
      <c r="C67" s="123" t="s">
        <v>543</v>
      </c>
      <c r="D67" s="44">
        <f>O67+AA67+AL67</f>
        <v>4024000</v>
      </c>
      <c r="F67" s="44"/>
      <c r="G67" s="44"/>
      <c r="H67" s="44"/>
      <c r="I67" s="349">
        <f t="shared" si="10"/>
        <v>0</v>
      </c>
      <c r="J67" s="120"/>
      <c r="K67" s="44"/>
      <c r="L67" s="44"/>
      <c r="M67" s="44"/>
      <c r="N67" s="349">
        <f t="shared" si="11"/>
        <v>0</v>
      </c>
      <c r="O67" s="373">
        <f>I67+N67</f>
        <v>0</v>
      </c>
      <c r="Q67" s="44">
        <f>'Összesített ktgvetés'!Q227</f>
        <v>1024000</v>
      </c>
      <c r="R67" s="44"/>
      <c r="S67" s="44"/>
      <c r="T67" s="349">
        <f t="shared" si="12"/>
        <v>1024000</v>
      </c>
      <c r="U67" s="120"/>
      <c r="V67" s="28">
        <v>0</v>
      </c>
      <c r="W67" s="44"/>
      <c r="X67" s="44"/>
      <c r="Y67" s="349">
        <f>SUM(V67:X67)</f>
        <v>0</v>
      </c>
      <c r="Z67" s="120"/>
      <c r="AA67" s="373">
        <f>T67+Y67</f>
        <v>1024000</v>
      </c>
      <c r="AC67" s="28">
        <f>'Összesített ktgvetés'!X228</f>
        <v>3000000</v>
      </c>
      <c r="AD67" s="28">
        <f>'Összesített ktgvetés'!Y228</f>
        <v>12740000</v>
      </c>
      <c r="AE67" s="44"/>
      <c r="AF67" s="349">
        <f>SUM(AC67:AE67)</f>
        <v>15740000</v>
      </c>
      <c r="AG67" s="120"/>
      <c r="AH67" s="28">
        <v>0</v>
      </c>
      <c r="AI67" s="44">
        <v>-12740000</v>
      </c>
      <c r="AJ67" s="44"/>
      <c r="AK67" s="349">
        <f>SUM(AH67:AJ67)</f>
        <v>-12740000</v>
      </c>
      <c r="AL67" s="373">
        <f>AF67+AK67</f>
        <v>3000000</v>
      </c>
    </row>
    <row r="68" spans="1:38" s="98" customFormat="1" ht="12.75" customHeight="1">
      <c r="A68" s="110">
        <v>59</v>
      </c>
      <c r="B68" s="115" t="s">
        <v>544</v>
      </c>
      <c r="C68" s="112" t="s">
        <v>545</v>
      </c>
      <c r="D68" s="56">
        <f>SUM(D65:D67)</f>
        <v>4024000</v>
      </c>
      <c r="F68" s="56">
        <f>SUM(F65:F67)</f>
        <v>0</v>
      </c>
      <c r="G68" s="56">
        <f>SUM(G65:G67)</f>
        <v>0</v>
      </c>
      <c r="H68" s="56">
        <f>SUM(H65:H67)</f>
        <v>0</v>
      </c>
      <c r="I68" s="56">
        <f>SUM(I65:I67)</f>
        <v>0</v>
      </c>
      <c r="J68" s="362"/>
      <c r="K68" s="56">
        <f>SUM(K65:K67)</f>
        <v>0</v>
      </c>
      <c r="L68" s="56">
        <f>SUM(L65:L67)</f>
        <v>0</v>
      </c>
      <c r="M68" s="56">
        <f>SUM(M65:M67)</f>
        <v>0</v>
      </c>
      <c r="N68" s="56">
        <f>SUM(N65:N67)</f>
        <v>0</v>
      </c>
      <c r="O68" s="56">
        <f>SUM(O65:O67)</f>
        <v>0</v>
      </c>
      <c r="Q68" s="56">
        <f>SUM(Q65:Q67)</f>
        <v>1024000</v>
      </c>
      <c r="R68" s="56">
        <f>SUM(R65:R67)</f>
        <v>0</v>
      </c>
      <c r="S68" s="56">
        <f>SUM(S65:S67)</f>
        <v>0</v>
      </c>
      <c r="T68" s="56">
        <f>SUM(T65:T67)</f>
        <v>1024000</v>
      </c>
      <c r="U68" s="362"/>
      <c r="V68" s="56">
        <f>SUM(V65:V67)</f>
        <v>0</v>
      </c>
      <c r="W68" s="56">
        <f>SUM(W65:W67)</f>
        <v>0</v>
      </c>
      <c r="X68" s="56">
        <f>SUM(X65:X67)</f>
        <v>0</v>
      </c>
      <c r="Y68" s="56">
        <f>SUM(Y65:Y67)</f>
        <v>0</v>
      </c>
      <c r="Z68" s="362"/>
      <c r="AA68" s="56">
        <f>SUM(AA65:AA67)</f>
        <v>1024000</v>
      </c>
      <c r="AC68" s="56">
        <f>SUM(AC65:AC67)</f>
        <v>3000000</v>
      </c>
      <c r="AD68" s="56">
        <f>SUM(AD65:AD67)</f>
        <v>12740000</v>
      </c>
      <c r="AE68" s="56">
        <f>SUM(AE65:AE67)</f>
        <v>0</v>
      </c>
      <c r="AF68" s="56">
        <f>SUM(AF65:AF67)</f>
        <v>15740000</v>
      </c>
      <c r="AG68" s="362"/>
      <c r="AH68" s="56">
        <f>SUM(AH65:AH67)</f>
        <v>0</v>
      </c>
      <c r="AI68" s="56">
        <f>SUM(AI65:AI67)</f>
        <v>-12740000</v>
      </c>
      <c r="AJ68" s="56">
        <f>SUM(AJ65:AJ67)</f>
        <v>0</v>
      </c>
      <c r="AK68" s="56">
        <f>SUM(AK65:AK67)</f>
        <v>-12740000</v>
      </c>
      <c r="AL68" s="56">
        <f>SUM(AL65:AL67)</f>
        <v>3000000</v>
      </c>
    </row>
    <row r="69" spans="1:38" s="99" customFormat="1" ht="13.5" customHeight="1" hidden="1">
      <c r="A69" s="121">
        <v>60</v>
      </c>
      <c r="B69" s="122" t="s">
        <v>546</v>
      </c>
      <c r="C69" s="123" t="s">
        <v>547</v>
      </c>
      <c r="D69" s="44">
        <f aca="true" t="shared" si="27" ref="D69:D79">O69+AA69+AL69</f>
        <v>0</v>
      </c>
      <c r="F69" s="44"/>
      <c r="G69" s="44"/>
      <c r="H69" s="44"/>
      <c r="I69" s="349">
        <f t="shared" si="10"/>
        <v>0</v>
      </c>
      <c r="J69" s="120"/>
      <c r="K69" s="44"/>
      <c r="L69" s="44"/>
      <c r="M69" s="44"/>
      <c r="N69" s="349">
        <f t="shared" si="11"/>
        <v>0</v>
      </c>
      <c r="O69" s="373">
        <f aca="true" t="shared" si="28" ref="O69:O79">I69+N69</f>
        <v>0</v>
      </c>
      <c r="Q69" s="44"/>
      <c r="R69" s="44"/>
      <c r="S69" s="44"/>
      <c r="T69" s="349">
        <f t="shared" si="12"/>
        <v>0</v>
      </c>
      <c r="U69" s="120"/>
      <c r="V69" s="28">
        <v>0</v>
      </c>
      <c r="W69" s="44"/>
      <c r="X69" s="44"/>
      <c r="Y69" s="349">
        <f aca="true" t="shared" si="29" ref="Y69:Y79">SUM(V69:X69)</f>
        <v>0</v>
      </c>
      <c r="Z69" s="120"/>
      <c r="AA69" s="373">
        <f aca="true" t="shared" si="30" ref="AA69:AA79">T69+Y69</f>
        <v>0</v>
      </c>
      <c r="AC69" s="28">
        <v>0</v>
      </c>
      <c r="AD69" s="44"/>
      <c r="AE69" s="44"/>
      <c r="AF69" s="349">
        <f aca="true" t="shared" si="31" ref="AF69:AF79">SUM(AC69:AE69)</f>
        <v>0</v>
      </c>
      <c r="AG69" s="120"/>
      <c r="AH69" s="28">
        <v>0</v>
      </c>
      <c r="AI69" s="44"/>
      <c r="AJ69" s="44"/>
      <c r="AK69" s="349">
        <f aca="true" t="shared" si="32" ref="AK69:AK79">SUM(AH69:AJ69)</f>
        <v>0</v>
      </c>
      <c r="AL69" s="373">
        <f aca="true" t="shared" si="33" ref="AL69:AL79">AF69+AK69</f>
        <v>0</v>
      </c>
    </row>
    <row r="70" spans="1:38" s="99" customFormat="1" ht="13.5" customHeight="1" hidden="1">
      <c r="A70" s="121">
        <v>61</v>
      </c>
      <c r="B70" s="122" t="s">
        <v>548</v>
      </c>
      <c r="C70" s="123" t="s">
        <v>549</v>
      </c>
      <c r="D70" s="44">
        <f t="shared" si="27"/>
        <v>0</v>
      </c>
      <c r="F70" s="44"/>
      <c r="G70" s="44"/>
      <c r="H70" s="44"/>
      <c r="I70" s="349">
        <f t="shared" si="10"/>
        <v>0</v>
      </c>
      <c r="J70" s="120"/>
      <c r="K70" s="44"/>
      <c r="L70" s="44"/>
      <c r="M70" s="44"/>
      <c r="N70" s="349">
        <f t="shared" si="11"/>
        <v>0</v>
      </c>
      <c r="O70" s="373">
        <f t="shared" si="28"/>
        <v>0</v>
      </c>
      <c r="Q70" s="44"/>
      <c r="R70" s="44"/>
      <c r="S70" s="44"/>
      <c r="T70" s="349">
        <f t="shared" si="12"/>
        <v>0</v>
      </c>
      <c r="U70" s="120"/>
      <c r="V70" s="28">
        <v>0</v>
      </c>
      <c r="W70" s="44"/>
      <c r="X70" s="44"/>
      <c r="Y70" s="349">
        <f t="shared" si="29"/>
        <v>0</v>
      </c>
      <c r="Z70" s="120"/>
      <c r="AA70" s="373">
        <f t="shared" si="30"/>
        <v>0</v>
      </c>
      <c r="AC70" s="28">
        <v>0</v>
      </c>
      <c r="AD70" s="44"/>
      <c r="AE70" s="44"/>
      <c r="AF70" s="349">
        <f t="shared" si="31"/>
        <v>0</v>
      </c>
      <c r="AG70" s="120"/>
      <c r="AH70" s="28">
        <v>0</v>
      </c>
      <c r="AI70" s="44"/>
      <c r="AJ70" s="44"/>
      <c r="AK70" s="349">
        <f t="shared" si="32"/>
        <v>0</v>
      </c>
      <c r="AL70" s="373">
        <f t="shared" si="33"/>
        <v>0</v>
      </c>
    </row>
    <row r="71" spans="1:38" s="99" customFormat="1" ht="13.5" customHeight="1" hidden="1">
      <c r="A71" s="121">
        <v>62</v>
      </c>
      <c r="B71" s="122" t="s">
        <v>550</v>
      </c>
      <c r="C71" s="123" t="s">
        <v>551</v>
      </c>
      <c r="D71" s="44">
        <f t="shared" si="27"/>
        <v>0</v>
      </c>
      <c r="F71" s="44"/>
      <c r="G71" s="44"/>
      <c r="H71" s="44"/>
      <c r="I71" s="349">
        <f t="shared" si="10"/>
        <v>0</v>
      </c>
      <c r="J71" s="120"/>
      <c r="K71" s="44"/>
      <c r="L71" s="44"/>
      <c r="M71" s="44"/>
      <c r="N71" s="349">
        <f t="shared" si="11"/>
        <v>0</v>
      </c>
      <c r="O71" s="373">
        <f t="shared" si="28"/>
        <v>0</v>
      </c>
      <c r="Q71" s="44"/>
      <c r="R71" s="44"/>
      <c r="S71" s="44"/>
      <c r="T71" s="349">
        <f t="shared" si="12"/>
        <v>0</v>
      </c>
      <c r="U71" s="120"/>
      <c r="V71" s="28">
        <v>0</v>
      </c>
      <c r="W71" s="44"/>
      <c r="X71" s="44"/>
      <c r="Y71" s="349">
        <f t="shared" si="29"/>
        <v>0</v>
      </c>
      <c r="Z71" s="120"/>
      <c r="AA71" s="373">
        <f t="shared" si="30"/>
        <v>0</v>
      </c>
      <c r="AC71" s="28">
        <v>0</v>
      </c>
      <c r="AD71" s="44"/>
      <c r="AE71" s="44"/>
      <c r="AF71" s="349">
        <f t="shared" si="31"/>
        <v>0</v>
      </c>
      <c r="AG71" s="120"/>
      <c r="AH71" s="28">
        <v>0</v>
      </c>
      <c r="AI71" s="44"/>
      <c r="AJ71" s="44"/>
      <c r="AK71" s="349">
        <f t="shared" si="32"/>
        <v>0</v>
      </c>
      <c r="AL71" s="373">
        <f t="shared" si="33"/>
        <v>0</v>
      </c>
    </row>
    <row r="72" spans="1:38" s="99" customFormat="1" ht="13.5" customHeight="1" hidden="1">
      <c r="A72" s="121">
        <v>63</v>
      </c>
      <c r="B72" s="122" t="s">
        <v>552</v>
      </c>
      <c r="C72" s="123" t="s">
        <v>553</v>
      </c>
      <c r="D72" s="44">
        <f t="shared" si="27"/>
        <v>0</v>
      </c>
      <c r="F72" s="44"/>
      <c r="G72" s="44"/>
      <c r="H72" s="44"/>
      <c r="I72" s="349">
        <f t="shared" si="10"/>
        <v>0</v>
      </c>
      <c r="J72" s="120"/>
      <c r="K72" s="44"/>
      <c r="L72" s="44"/>
      <c r="M72" s="44"/>
      <c r="N72" s="349">
        <f t="shared" si="11"/>
        <v>0</v>
      </c>
      <c r="O72" s="373">
        <f t="shared" si="28"/>
        <v>0</v>
      </c>
      <c r="Q72" s="44"/>
      <c r="R72" s="44"/>
      <c r="S72" s="44"/>
      <c r="T72" s="349">
        <f t="shared" si="12"/>
        <v>0</v>
      </c>
      <c r="U72" s="120"/>
      <c r="V72" s="28">
        <v>0</v>
      </c>
      <c r="W72" s="44"/>
      <c r="X72" s="44"/>
      <c r="Y72" s="349">
        <f t="shared" si="29"/>
        <v>0</v>
      </c>
      <c r="Z72" s="120"/>
      <c r="AA72" s="373">
        <f t="shared" si="30"/>
        <v>0</v>
      </c>
      <c r="AC72" s="28">
        <v>0</v>
      </c>
      <c r="AD72" s="44"/>
      <c r="AE72" s="44"/>
      <c r="AF72" s="349">
        <f t="shared" si="31"/>
        <v>0</v>
      </c>
      <c r="AG72" s="120"/>
      <c r="AH72" s="28">
        <v>0</v>
      </c>
      <c r="AI72" s="44"/>
      <c r="AJ72" s="44"/>
      <c r="AK72" s="349">
        <f t="shared" si="32"/>
        <v>0</v>
      </c>
      <c r="AL72" s="373">
        <f t="shared" si="33"/>
        <v>0</v>
      </c>
    </row>
    <row r="73" spans="1:38" s="99" customFormat="1" ht="13.5" customHeight="1" hidden="1">
      <c r="A73" s="121">
        <v>64</v>
      </c>
      <c r="B73" s="122" t="s">
        <v>554</v>
      </c>
      <c r="C73" s="123" t="s">
        <v>555</v>
      </c>
      <c r="D73" s="44">
        <f t="shared" si="27"/>
        <v>0</v>
      </c>
      <c r="F73" s="44"/>
      <c r="G73" s="44"/>
      <c r="H73" s="44"/>
      <c r="I73" s="349">
        <f t="shared" si="10"/>
        <v>0</v>
      </c>
      <c r="J73" s="120"/>
      <c r="K73" s="44"/>
      <c r="L73" s="44"/>
      <c r="M73" s="44"/>
      <c r="N73" s="349">
        <f t="shared" si="11"/>
        <v>0</v>
      </c>
      <c r="O73" s="373">
        <f t="shared" si="28"/>
        <v>0</v>
      </c>
      <c r="Q73" s="44"/>
      <c r="R73" s="44"/>
      <c r="S73" s="44"/>
      <c r="T73" s="349">
        <f t="shared" si="12"/>
        <v>0</v>
      </c>
      <c r="U73" s="120"/>
      <c r="V73" s="28">
        <v>0</v>
      </c>
      <c r="W73" s="44"/>
      <c r="X73" s="44"/>
      <c r="Y73" s="349">
        <f t="shared" si="29"/>
        <v>0</v>
      </c>
      <c r="Z73" s="120"/>
      <c r="AA73" s="373">
        <f t="shared" si="30"/>
        <v>0</v>
      </c>
      <c r="AC73" s="28">
        <v>0</v>
      </c>
      <c r="AD73" s="44"/>
      <c r="AE73" s="44"/>
      <c r="AF73" s="349">
        <f t="shared" si="31"/>
        <v>0</v>
      </c>
      <c r="AG73" s="120"/>
      <c r="AH73" s="28">
        <v>0</v>
      </c>
      <c r="AI73" s="44"/>
      <c r="AJ73" s="44"/>
      <c r="AK73" s="349">
        <f t="shared" si="32"/>
        <v>0</v>
      </c>
      <c r="AL73" s="373">
        <f t="shared" si="33"/>
        <v>0</v>
      </c>
    </row>
    <row r="74" spans="1:38" s="99" customFormat="1" ht="13.5" customHeight="1" hidden="1">
      <c r="A74" s="121">
        <v>65</v>
      </c>
      <c r="B74" s="122" t="s">
        <v>556</v>
      </c>
      <c r="C74" s="123" t="s">
        <v>557</v>
      </c>
      <c r="D74" s="44">
        <f t="shared" si="27"/>
        <v>0</v>
      </c>
      <c r="F74" s="44"/>
      <c r="G74" s="44"/>
      <c r="H74" s="44"/>
      <c r="I74" s="349">
        <f t="shared" si="10"/>
        <v>0</v>
      </c>
      <c r="J74" s="120"/>
      <c r="K74" s="44"/>
      <c r="L74" s="44"/>
      <c r="M74" s="44"/>
      <c r="N74" s="349">
        <f t="shared" si="11"/>
        <v>0</v>
      </c>
      <c r="O74" s="373">
        <f t="shared" si="28"/>
        <v>0</v>
      </c>
      <c r="Q74" s="44"/>
      <c r="R74" s="44"/>
      <c r="S74" s="44"/>
      <c r="T74" s="349">
        <f t="shared" si="12"/>
        <v>0</v>
      </c>
      <c r="U74" s="120"/>
      <c r="V74" s="28">
        <v>0</v>
      </c>
      <c r="W74" s="44"/>
      <c r="X74" s="44"/>
      <c r="Y74" s="349">
        <f t="shared" si="29"/>
        <v>0</v>
      </c>
      <c r="Z74" s="120"/>
      <c r="AA74" s="373">
        <f t="shared" si="30"/>
        <v>0</v>
      </c>
      <c r="AC74" s="28">
        <v>0</v>
      </c>
      <c r="AD74" s="44"/>
      <c r="AE74" s="44"/>
      <c r="AF74" s="349">
        <f t="shared" si="31"/>
        <v>0</v>
      </c>
      <c r="AG74" s="120"/>
      <c r="AH74" s="28">
        <v>0</v>
      </c>
      <c r="AI74" s="44"/>
      <c r="AJ74" s="44"/>
      <c r="AK74" s="349">
        <f t="shared" si="32"/>
        <v>0</v>
      </c>
      <c r="AL74" s="373">
        <f t="shared" si="33"/>
        <v>0</v>
      </c>
    </row>
    <row r="75" spans="1:38" s="99" customFormat="1" ht="13.5" customHeight="1" hidden="1">
      <c r="A75" s="121">
        <v>66</v>
      </c>
      <c r="B75" s="122" t="s">
        <v>558</v>
      </c>
      <c r="C75" s="123" t="s">
        <v>559</v>
      </c>
      <c r="D75" s="44">
        <f t="shared" si="27"/>
        <v>0</v>
      </c>
      <c r="F75" s="44"/>
      <c r="G75" s="44"/>
      <c r="H75" s="44"/>
      <c r="I75" s="349">
        <f t="shared" si="10"/>
        <v>0</v>
      </c>
      <c r="J75" s="120"/>
      <c r="K75" s="44"/>
      <c r="L75" s="44"/>
      <c r="M75" s="44"/>
      <c r="N75" s="349">
        <f t="shared" si="11"/>
        <v>0</v>
      </c>
      <c r="O75" s="373">
        <f t="shared" si="28"/>
        <v>0</v>
      </c>
      <c r="Q75" s="44"/>
      <c r="R75" s="44"/>
      <c r="S75" s="44"/>
      <c r="T75" s="349">
        <f t="shared" si="12"/>
        <v>0</v>
      </c>
      <c r="U75" s="120"/>
      <c r="V75" s="28">
        <v>0</v>
      </c>
      <c r="W75" s="44"/>
      <c r="X75" s="44"/>
      <c r="Y75" s="349">
        <f t="shared" si="29"/>
        <v>0</v>
      </c>
      <c r="Z75" s="120"/>
      <c r="AA75" s="373">
        <f t="shared" si="30"/>
        <v>0</v>
      </c>
      <c r="AC75" s="28">
        <v>0</v>
      </c>
      <c r="AD75" s="44"/>
      <c r="AE75" s="44"/>
      <c r="AF75" s="349">
        <f t="shared" si="31"/>
        <v>0</v>
      </c>
      <c r="AG75" s="120"/>
      <c r="AH75" s="28">
        <v>0</v>
      </c>
      <c r="AI75" s="44"/>
      <c r="AJ75" s="44"/>
      <c r="AK75" s="349">
        <f t="shared" si="32"/>
        <v>0</v>
      </c>
      <c r="AL75" s="373">
        <f t="shared" si="33"/>
        <v>0</v>
      </c>
    </row>
    <row r="76" spans="1:38" s="99" customFormat="1" ht="12.75" customHeight="1" hidden="1">
      <c r="A76" s="121">
        <v>67</v>
      </c>
      <c r="B76" s="124" t="s">
        <v>560</v>
      </c>
      <c r="C76" s="123" t="s">
        <v>561</v>
      </c>
      <c r="D76" s="44">
        <f t="shared" si="27"/>
        <v>0</v>
      </c>
      <c r="F76" s="44"/>
      <c r="G76" s="44"/>
      <c r="H76" s="44"/>
      <c r="I76" s="349">
        <f t="shared" si="10"/>
        <v>0</v>
      </c>
      <c r="J76" s="120"/>
      <c r="K76" s="44"/>
      <c r="L76" s="44"/>
      <c r="M76" s="44"/>
      <c r="N76" s="349">
        <f t="shared" si="11"/>
        <v>0</v>
      </c>
      <c r="O76" s="373">
        <f t="shared" si="28"/>
        <v>0</v>
      </c>
      <c r="Q76" s="44"/>
      <c r="R76" s="44"/>
      <c r="S76" s="44"/>
      <c r="T76" s="349">
        <f t="shared" si="12"/>
        <v>0</v>
      </c>
      <c r="U76" s="120"/>
      <c r="V76" s="28">
        <v>0</v>
      </c>
      <c r="W76" s="44"/>
      <c r="X76" s="44"/>
      <c r="Y76" s="349">
        <f t="shared" si="29"/>
        <v>0</v>
      </c>
      <c r="Z76" s="120"/>
      <c r="AA76" s="373">
        <f t="shared" si="30"/>
        <v>0</v>
      </c>
      <c r="AC76" s="28">
        <v>0</v>
      </c>
      <c r="AD76" s="44"/>
      <c r="AE76" s="44"/>
      <c r="AF76" s="349">
        <f t="shared" si="31"/>
        <v>0</v>
      </c>
      <c r="AG76" s="120"/>
      <c r="AH76" s="28">
        <v>0</v>
      </c>
      <c r="AI76" s="44"/>
      <c r="AJ76" s="44"/>
      <c r="AK76" s="349">
        <f t="shared" si="32"/>
        <v>0</v>
      </c>
      <c r="AL76" s="373">
        <f t="shared" si="33"/>
        <v>0</v>
      </c>
    </row>
    <row r="77" spans="1:38" s="29" customFormat="1" ht="12.75" customHeight="1" hidden="1">
      <c r="A77" s="25">
        <v>68</v>
      </c>
      <c r="B77" s="46" t="s">
        <v>562</v>
      </c>
      <c r="C77" s="30" t="s">
        <v>563</v>
      </c>
      <c r="D77" s="28">
        <f t="shared" si="27"/>
        <v>0</v>
      </c>
      <c r="E77" s="99"/>
      <c r="F77" s="28"/>
      <c r="G77" s="28"/>
      <c r="H77" s="28"/>
      <c r="I77" s="349">
        <f t="shared" si="10"/>
        <v>0</v>
      </c>
      <c r="J77" s="120"/>
      <c r="K77" s="28"/>
      <c r="L77" s="28"/>
      <c r="M77" s="28"/>
      <c r="N77" s="349">
        <f t="shared" si="11"/>
        <v>0</v>
      </c>
      <c r="O77" s="373">
        <f t="shared" si="28"/>
        <v>0</v>
      </c>
      <c r="P77" s="99"/>
      <c r="Q77" s="28"/>
      <c r="R77" s="28"/>
      <c r="S77" s="28"/>
      <c r="T77" s="349">
        <f t="shared" si="12"/>
        <v>0</v>
      </c>
      <c r="U77" s="120"/>
      <c r="V77" s="28">
        <v>0</v>
      </c>
      <c r="W77" s="28"/>
      <c r="X77" s="28"/>
      <c r="Y77" s="349">
        <f t="shared" si="29"/>
        <v>0</v>
      </c>
      <c r="Z77" s="120"/>
      <c r="AA77" s="373">
        <f t="shared" si="30"/>
        <v>0</v>
      </c>
      <c r="AB77" s="99"/>
      <c r="AC77" s="28">
        <v>0</v>
      </c>
      <c r="AD77" s="28"/>
      <c r="AE77" s="28"/>
      <c r="AF77" s="349">
        <f t="shared" si="31"/>
        <v>0</v>
      </c>
      <c r="AG77" s="120"/>
      <c r="AH77" s="28">
        <v>0</v>
      </c>
      <c r="AI77" s="28"/>
      <c r="AJ77" s="28"/>
      <c r="AK77" s="349">
        <f t="shared" si="32"/>
        <v>0</v>
      </c>
      <c r="AL77" s="373">
        <f t="shared" si="33"/>
        <v>0</v>
      </c>
    </row>
    <row r="78" spans="1:38" s="29" customFormat="1" ht="12.75" customHeight="1" hidden="1">
      <c r="A78" s="25">
        <v>69</v>
      </c>
      <c r="B78" s="46" t="s">
        <v>564</v>
      </c>
      <c r="C78" s="30" t="s">
        <v>565</v>
      </c>
      <c r="D78" s="28">
        <f t="shared" si="27"/>
        <v>0</v>
      </c>
      <c r="E78" s="99"/>
      <c r="F78" s="28"/>
      <c r="G78" s="28"/>
      <c r="H78" s="28"/>
      <c r="I78" s="349">
        <f t="shared" si="10"/>
        <v>0</v>
      </c>
      <c r="J78" s="120"/>
      <c r="K78" s="28"/>
      <c r="L78" s="28"/>
      <c r="M78" s="28"/>
      <c r="N78" s="349">
        <f t="shared" si="11"/>
        <v>0</v>
      </c>
      <c r="O78" s="373">
        <f t="shared" si="28"/>
        <v>0</v>
      </c>
      <c r="P78" s="99"/>
      <c r="Q78" s="28"/>
      <c r="R78" s="28"/>
      <c r="S78" s="28"/>
      <c r="T78" s="349">
        <f t="shared" si="12"/>
        <v>0</v>
      </c>
      <c r="U78" s="120"/>
      <c r="V78" s="28">
        <v>0</v>
      </c>
      <c r="W78" s="28"/>
      <c r="X78" s="28"/>
      <c r="Y78" s="349">
        <f t="shared" si="29"/>
        <v>0</v>
      </c>
      <c r="Z78" s="120"/>
      <c r="AA78" s="373">
        <f t="shared" si="30"/>
        <v>0</v>
      </c>
      <c r="AB78" s="99"/>
      <c r="AC78" s="28">
        <v>0</v>
      </c>
      <c r="AD78" s="28"/>
      <c r="AE78" s="28"/>
      <c r="AF78" s="349">
        <f t="shared" si="31"/>
        <v>0</v>
      </c>
      <c r="AG78" s="120"/>
      <c r="AH78" s="28">
        <v>0</v>
      </c>
      <c r="AI78" s="28"/>
      <c r="AJ78" s="28"/>
      <c r="AK78" s="349">
        <f t="shared" si="32"/>
        <v>0</v>
      </c>
      <c r="AL78" s="373">
        <f t="shared" si="33"/>
        <v>0</v>
      </c>
    </row>
    <row r="79" spans="1:38" s="29" customFormat="1" ht="12.75" customHeight="1" hidden="1">
      <c r="A79" s="25">
        <v>70</v>
      </c>
      <c r="B79" s="47" t="s">
        <v>566</v>
      </c>
      <c r="C79" s="30" t="s">
        <v>567</v>
      </c>
      <c r="D79" s="44">
        <f t="shared" si="27"/>
        <v>0</v>
      </c>
      <c r="E79" s="99"/>
      <c r="F79" s="44"/>
      <c r="G79" s="44"/>
      <c r="H79" s="44"/>
      <c r="I79" s="349">
        <f t="shared" si="10"/>
        <v>0</v>
      </c>
      <c r="J79" s="120"/>
      <c r="K79" s="44"/>
      <c r="L79" s="44"/>
      <c r="M79" s="44"/>
      <c r="N79" s="349">
        <f t="shared" si="11"/>
        <v>0</v>
      </c>
      <c r="O79" s="373">
        <f t="shared" si="28"/>
        <v>0</v>
      </c>
      <c r="P79" s="99"/>
      <c r="Q79" s="44"/>
      <c r="R79" s="44"/>
      <c r="S79" s="44"/>
      <c r="T79" s="349">
        <f t="shared" si="12"/>
        <v>0</v>
      </c>
      <c r="U79" s="120"/>
      <c r="V79" s="28">
        <v>0</v>
      </c>
      <c r="W79" s="44"/>
      <c r="X79" s="44"/>
      <c r="Y79" s="349">
        <f t="shared" si="29"/>
        <v>0</v>
      </c>
      <c r="Z79" s="120"/>
      <c r="AA79" s="373">
        <f t="shared" si="30"/>
        <v>0</v>
      </c>
      <c r="AB79" s="99"/>
      <c r="AC79" s="28">
        <v>0</v>
      </c>
      <c r="AD79" s="44"/>
      <c r="AE79" s="44"/>
      <c r="AF79" s="349">
        <f t="shared" si="31"/>
        <v>0</v>
      </c>
      <c r="AG79" s="120"/>
      <c r="AH79" s="28">
        <v>0</v>
      </c>
      <c r="AI79" s="44"/>
      <c r="AJ79" s="44"/>
      <c r="AK79" s="349">
        <f t="shared" si="32"/>
        <v>0</v>
      </c>
      <c r="AL79" s="373">
        <f t="shared" si="33"/>
        <v>0</v>
      </c>
    </row>
    <row r="80" spans="1:38" ht="12.75" customHeight="1">
      <c r="A80" s="35">
        <v>71</v>
      </c>
      <c r="B80" s="45" t="s">
        <v>568</v>
      </c>
      <c r="C80" s="37" t="s">
        <v>569</v>
      </c>
      <c r="D80" s="101">
        <f>SUM(D68:D79)+D64</f>
        <v>4024000</v>
      </c>
      <c r="F80" s="101">
        <f>SUM(F68:F79)+F64</f>
        <v>0</v>
      </c>
      <c r="G80" s="101">
        <f>SUM(G68:G79)+G64</f>
        <v>0</v>
      </c>
      <c r="H80" s="101">
        <f>SUM(H68:H79)+H64</f>
        <v>0</v>
      </c>
      <c r="I80" s="101">
        <f>SUM(I68:I79)+I64</f>
        <v>0</v>
      </c>
      <c r="J80" s="366"/>
      <c r="K80" s="101">
        <f>SUM(K68:K79)+K64</f>
        <v>0</v>
      </c>
      <c r="L80" s="101">
        <f>SUM(L68:L79)+L64</f>
        <v>0</v>
      </c>
      <c r="M80" s="101">
        <f>SUM(M68:M79)+M64</f>
        <v>0</v>
      </c>
      <c r="N80" s="101">
        <f>SUM(N68:N79)+N64</f>
        <v>0</v>
      </c>
      <c r="O80" s="101">
        <f>SUM(O68:O79)+O64</f>
        <v>0</v>
      </c>
      <c r="Q80" s="101">
        <f>SUM(Q68:Q79)+Q64</f>
        <v>1024000</v>
      </c>
      <c r="R80" s="101">
        <f>SUM(R68:R79)+R64</f>
        <v>0</v>
      </c>
      <c r="S80" s="101">
        <f>SUM(S68:S79)+S64</f>
        <v>0</v>
      </c>
      <c r="T80" s="101">
        <f>SUM(T68:T79)+T64</f>
        <v>1024000</v>
      </c>
      <c r="U80" s="366"/>
      <c r="V80" s="101">
        <f>SUM(V68:V79)+V64</f>
        <v>0</v>
      </c>
      <c r="W80" s="101">
        <f>SUM(W68:W79)+W64</f>
        <v>0</v>
      </c>
      <c r="X80" s="101">
        <f>SUM(X68:X79)+X64</f>
        <v>0</v>
      </c>
      <c r="Y80" s="101">
        <f>SUM(Y68:Y79)+Y64</f>
        <v>0</v>
      </c>
      <c r="Z80" s="366"/>
      <c r="AA80" s="101">
        <f>SUM(AA68:AA79)+AA64</f>
        <v>1024000</v>
      </c>
      <c r="AC80" s="101">
        <f>SUM(AC68:AC79)+AC64</f>
        <v>3000000</v>
      </c>
      <c r="AD80" s="101">
        <f>SUM(AD68:AD79)+AD64</f>
        <v>12740000</v>
      </c>
      <c r="AE80" s="101">
        <f>SUM(AE68:AE79)+AE64</f>
        <v>0</v>
      </c>
      <c r="AF80" s="101">
        <f>SUM(AF68:AF79)+AF64</f>
        <v>15740000</v>
      </c>
      <c r="AG80" s="366"/>
      <c r="AH80" s="101">
        <f>SUM(AH68:AH79)+AH64</f>
        <v>0</v>
      </c>
      <c r="AI80" s="101">
        <f>SUM(AI68:AI79)+AI64</f>
        <v>-12740000</v>
      </c>
      <c r="AJ80" s="101">
        <f>SUM(AJ68:AJ79)+AJ64</f>
        <v>0</v>
      </c>
      <c r="AK80" s="101">
        <f>SUM(AK68:AK79)+AK64</f>
        <v>-12740000</v>
      </c>
      <c r="AL80" s="101">
        <f>SUM(AL68:AL79)+AL64</f>
        <v>3000000</v>
      </c>
    </row>
    <row r="81" spans="1:38" s="29" customFormat="1" ht="12.75" customHeight="1">
      <c r="A81" s="25">
        <v>72</v>
      </c>
      <c r="B81" s="48" t="s">
        <v>570</v>
      </c>
      <c r="C81" s="30" t="s">
        <v>571</v>
      </c>
      <c r="D81" s="28">
        <f aca="true" t="shared" si="34" ref="D81:D87">O81+AA81+AL81</f>
        <v>300000</v>
      </c>
      <c r="E81" s="99"/>
      <c r="F81" s="28">
        <f>'Összesített ktgvetés'!H242</f>
        <v>0</v>
      </c>
      <c r="G81" s="28"/>
      <c r="H81" s="28"/>
      <c r="I81" s="349">
        <f t="shared" si="10"/>
        <v>0</v>
      </c>
      <c r="J81" s="120"/>
      <c r="K81" s="28">
        <f>'Összesített ktgvetés'!L242</f>
        <v>300000</v>
      </c>
      <c r="L81" s="28"/>
      <c r="M81" s="28"/>
      <c r="N81" s="349">
        <f t="shared" si="11"/>
        <v>300000</v>
      </c>
      <c r="O81" s="373">
        <f aca="true" t="shared" si="35" ref="O81:O87">I81+N81</f>
        <v>300000</v>
      </c>
      <c r="P81" s="99"/>
      <c r="Q81" s="28">
        <f>'Összesített ktgvetés'!Q242</f>
        <v>0</v>
      </c>
      <c r="R81" s="28"/>
      <c r="S81" s="28"/>
      <c r="T81" s="349">
        <f t="shared" si="12"/>
        <v>0</v>
      </c>
      <c r="U81" s="120"/>
      <c r="V81" s="28">
        <v>0</v>
      </c>
      <c r="W81" s="28"/>
      <c r="X81" s="28"/>
      <c r="Y81" s="349">
        <f aca="true" t="shared" si="36" ref="Y81:Y87">SUM(V81:X81)</f>
        <v>0</v>
      </c>
      <c r="Z81" s="120"/>
      <c r="AA81" s="373">
        <f aca="true" t="shared" si="37" ref="AA81:AA87">T81+Y81</f>
        <v>0</v>
      </c>
      <c r="AB81" s="99"/>
      <c r="AC81" s="28">
        <v>0</v>
      </c>
      <c r="AD81" s="28"/>
      <c r="AE81" s="28"/>
      <c r="AF81" s="349">
        <f aca="true" t="shared" si="38" ref="AF81:AF87">SUM(AC81:AE81)</f>
        <v>0</v>
      </c>
      <c r="AG81" s="120"/>
      <c r="AH81" s="28">
        <v>0</v>
      </c>
      <c r="AI81" s="28"/>
      <c r="AJ81" s="28"/>
      <c r="AK81" s="349">
        <f aca="true" t="shared" si="39" ref="AK81:AK87">SUM(AH81:AJ81)</f>
        <v>0</v>
      </c>
      <c r="AL81" s="373">
        <f aca="true" t="shared" si="40" ref="AL81:AL87">AF81+AK81</f>
        <v>0</v>
      </c>
    </row>
    <row r="82" spans="1:38" s="29" customFormat="1" ht="12.75" customHeight="1">
      <c r="A82" s="25">
        <v>73</v>
      </c>
      <c r="B82" s="48" t="s">
        <v>572</v>
      </c>
      <c r="C82" s="30" t="s">
        <v>573</v>
      </c>
      <c r="D82" s="28">
        <f t="shared" si="34"/>
        <v>0</v>
      </c>
      <c r="E82" s="99"/>
      <c r="F82" s="28"/>
      <c r="G82" s="28"/>
      <c r="H82" s="28"/>
      <c r="I82" s="349">
        <f t="shared" si="10"/>
        <v>0</v>
      </c>
      <c r="J82" s="120"/>
      <c r="K82" s="28"/>
      <c r="L82" s="28"/>
      <c r="M82" s="28"/>
      <c r="N82" s="349">
        <f t="shared" si="11"/>
        <v>0</v>
      </c>
      <c r="O82" s="373">
        <f t="shared" si="35"/>
        <v>0</v>
      </c>
      <c r="P82" s="99"/>
      <c r="Q82" s="28">
        <v>0</v>
      </c>
      <c r="R82" s="28"/>
      <c r="S82" s="28"/>
      <c r="T82" s="349">
        <f t="shared" si="12"/>
        <v>0</v>
      </c>
      <c r="U82" s="120"/>
      <c r="V82" s="28">
        <v>0</v>
      </c>
      <c r="W82" s="28"/>
      <c r="X82" s="28"/>
      <c r="Y82" s="349">
        <f t="shared" si="36"/>
        <v>0</v>
      </c>
      <c r="Z82" s="120"/>
      <c r="AA82" s="373">
        <f t="shared" si="37"/>
        <v>0</v>
      </c>
      <c r="AB82" s="99"/>
      <c r="AC82" s="28">
        <v>0</v>
      </c>
      <c r="AD82" s="28"/>
      <c r="AE82" s="28"/>
      <c r="AF82" s="349">
        <f t="shared" si="38"/>
        <v>0</v>
      </c>
      <c r="AG82" s="120"/>
      <c r="AH82" s="28">
        <v>0</v>
      </c>
      <c r="AI82" s="28"/>
      <c r="AJ82" s="28"/>
      <c r="AK82" s="349">
        <f t="shared" si="39"/>
        <v>0</v>
      </c>
      <c r="AL82" s="373">
        <f t="shared" si="40"/>
        <v>0</v>
      </c>
    </row>
    <row r="83" spans="1:38" s="29" customFormat="1" ht="12.75" customHeight="1">
      <c r="A83" s="25">
        <v>74</v>
      </c>
      <c r="B83" s="48" t="s">
        <v>319</v>
      </c>
      <c r="C83" s="30" t="s">
        <v>574</v>
      </c>
      <c r="D83" s="28">
        <f t="shared" si="34"/>
        <v>0</v>
      </c>
      <c r="E83" s="99"/>
      <c r="F83" s="28">
        <f>'Összesített ktgvetés'!H243</f>
        <v>0</v>
      </c>
      <c r="G83" s="28"/>
      <c r="H83" s="28"/>
      <c r="I83" s="349">
        <f t="shared" si="10"/>
        <v>0</v>
      </c>
      <c r="J83" s="120"/>
      <c r="K83" s="28">
        <f>'Összesített ktgvetés'!L243</f>
        <v>0</v>
      </c>
      <c r="L83" s="28"/>
      <c r="M83" s="28"/>
      <c r="N83" s="349">
        <f t="shared" si="11"/>
        <v>0</v>
      </c>
      <c r="O83" s="373">
        <f>I83+N83</f>
        <v>0</v>
      </c>
      <c r="P83" s="99"/>
      <c r="Q83" s="28">
        <f>'Összesített ktgvetés'!Q243</f>
        <v>0</v>
      </c>
      <c r="R83" s="28"/>
      <c r="S83" s="28"/>
      <c r="T83" s="349">
        <f t="shared" si="12"/>
        <v>0</v>
      </c>
      <c r="U83" s="120"/>
      <c r="V83" s="28">
        <v>0</v>
      </c>
      <c r="W83" s="28"/>
      <c r="X83" s="28"/>
      <c r="Y83" s="349">
        <f t="shared" si="36"/>
        <v>0</v>
      </c>
      <c r="Z83" s="120"/>
      <c r="AA83" s="373">
        <f t="shared" si="37"/>
        <v>0</v>
      </c>
      <c r="AB83" s="99"/>
      <c r="AC83" s="28">
        <v>0</v>
      </c>
      <c r="AD83" s="28"/>
      <c r="AE83" s="28"/>
      <c r="AF83" s="349">
        <f t="shared" si="38"/>
        <v>0</v>
      </c>
      <c r="AG83" s="120"/>
      <c r="AH83" s="28">
        <v>0</v>
      </c>
      <c r="AI83" s="28"/>
      <c r="AJ83" s="28"/>
      <c r="AK83" s="349">
        <f t="shared" si="39"/>
        <v>0</v>
      </c>
      <c r="AL83" s="373">
        <f>AF83+AK83</f>
        <v>0</v>
      </c>
    </row>
    <row r="84" spans="1:38" s="29" customFormat="1" ht="12.75" customHeight="1">
      <c r="A84" s="25">
        <v>75</v>
      </c>
      <c r="B84" s="48" t="s">
        <v>30</v>
      </c>
      <c r="C84" s="30" t="s">
        <v>575</v>
      </c>
      <c r="D84" s="28">
        <f t="shared" si="34"/>
        <v>567340</v>
      </c>
      <c r="E84" s="99"/>
      <c r="F84" s="28">
        <f>'Összesített ktgvetés'!H244</f>
        <v>235600</v>
      </c>
      <c r="G84" s="28"/>
      <c r="H84" s="28"/>
      <c r="I84" s="349">
        <f t="shared" si="10"/>
        <v>235600</v>
      </c>
      <c r="J84" s="120"/>
      <c r="K84" s="28">
        <f>'Összesített ktgvetés'!L244</f>
        <v>253000</v>
      </c>
      <c r="L84" s="28"/>
      <c r="M84" s="28"/>
      <c r="N84" s="349">
        <f t="shared" si="11"/>
        <v>253000</v>
      </c>
      <c r="O84" s="373">
        <f t="shared" si="35"/>
        <v>488600</v>
      </c>
      <c r="P84" s="99"/>
      <c r="Q84" s="28">
        <f>'Összesített ktgvetés'!Q244</f>
        <v>78740</v>
      </c>
      <c r="R84" s="28"/>
      <c r="S84" s="28"/>
      <c r="T84" s="349">
        <f t="shared" si="12"/>
        <v>78740</v>
      </c>
      <c r="U84" s="120"/>
      <c r="V84" s="28">
        <v>0</v>
      </c>
      <c r="W84" s="28"/>
      <c r="X84" s="28"/>
      <c r="Y84" s="349">
        <f t="shared" si="36"/>
        <v>0</v>
      </c>
      <c r="Z84" s="120"/>
      <c r="AA84" s="373">
        <f t="shared" si="37"/>
        <v>78740</v>
      </c>
      <c r="AB84" s="99"/>
      <c r="AC84" s="28">
        <v>0</v>
      </c>
      <c r="AD84" s="28"/>
      <c r="AE84" s="28"/>
      <c r="AF84" s="349">
        <f t="shared" si="38"/>
        <v>0</v>
      </c>
      <c r="AG84" s="120"/>
      <c r="AH84" s="28">
        <v>0</v>
      </c>
      <c r="AI84" s="28"/>
      <c r="AJ84" s="28"/>
      <c r="AK84" s="349">
        <f t="shared" si="39"/>
        <v>0</v>
      </c>
      <c r="AL84" s="373">
        <f t="shared" si="40"/>
        <v>0</v>
      </c>
    </row>
    <row r="85" spans="1:38" s="29" customFormat="1" ht="12.75" customHeight="1">
      <c r="A85" s="25">
        <v>76</v>
      </c>
      <c r="B85" s="34" t="s">
        <v>576</v>
      </c>
      <c r="C85" s="30" t="s">
        <v>577</v>
      </c>
      <c r="D85" s="28">
        <f t="shared" si="34"/>
        <v>0</v>
      </c>
      <c r="E85" s="99"/>
      <c r="F85" s="28"/>
      <c r="G85" s="28"/>
      <c r="H85" s="28"/>
      <c r="I85" s="349">
        <f t="shared" si="10"/>
        <v>0</v>
      </c>
      <c r="J85" s="120"/>
      <c r="K85" s="28"/>
      <c r="L85" s="28"/>
      <c r="M85" s="28"/>
      <c r="N85" s="349">
        <f t="shared" si="11"/>
        <v>0</v>
      </c>
      <c r="O85" s="373">
        <f t="shared" si="35"/>
        <v>0</v>
      </c>
      <c r="P85" s="99"/>
      <c r="Q85" s="28">
        <v>0</v>
      </c>
      <c r="R85" s="28"/>
      <c r="S85" s="28"/>
      <c r="T85" s="349">
        <f t="shared" si="12"/>
        <v>0</v>
      </c>
      <c r="U85" s="120"/>
      <c r="V85" s="28">
        <v>0</v>
      </c>
      <c r="W85" s="28"/>
      <c r="X85" s="28"/>
      <c r="Y85" s="349">
        <f t="shared" si="36"/>
        <v>0</v>
      </c>
      <c r="Z85" s="120"/>
      <c r="AA85" s="373">
        <f t="shared" si="37"/>
        <v>0</v>
      </c>
      <c r="AB85" s="99"/>
      <c r="AC85" s="28">
        <v>0</v>
      </c>
      <c r="AD85" s="28"/>
      <c r="AE85" s="28"/>
      <c r="AF85" s="349">
        <f t="shared" si="38"/>
        <v>0</v>
      </c>
      <c r="AG85" s="120"/>
      <c r="AH85" s="28">
        <v>0</v>
      </c>
      <c r="AI85" s="28"/>
      <c r="AJ85" s="28"/>
      <c r="AK85" s="349">
        <f t="shared" si="39"/>
        <v>0</v>
      </c>
      <c r="AL85" s="373">
        <f t="shared" si="40"/>
        <v>0</v>
      </c>
    </row>
    <row r="86" spans="1:38" s="29" customFormat="1" ht="12.75" customHeight="1">
      <c r="A86" s="25">
        <v>77</v>
      </c>
      <c r="B86" s="34" t="s">
        <v>578</v>
      </c>
      <c r="C86" s="30" t="s">
        <v>579</v>
      </c>
      <c r="D86" s="28">
        <f t="shared" si="34"/>
        <v>0</v>
      </c>
      <c r="E86" s="99"/>
      <c r="F86" s="28"/>
      <c r="G86" s="28"/>
      <c r="H86" s="28"/>
      <c r="I86" s="349">
        <f t="shared" si="10"/>
        <v>0</v>
      </c>
      <c r="J86" s="120"/>
      <c r="K86" s="28"/>
      <c r="L86" s="28"/>
      <c r="M86" s="28"/>
      <c r="N86" s="349">
        <f t="shared" si="11"/>
        <v>0</v>
      </c>
      <c r="O86" s="373">
        <f t="shared" si="35"/>
        <v>0</v>
      </c>
      <c r="P86" s="99"/>
      <c r="Q86" s="28">
        <v>0</v>
      </c>
      <c r="R86" s="28"/>
      <c r="S86" s="28"/>
      <c r="T86" s="349">
        <f t="shared" si="12"/>
        <v>0</v>
      </c>
      <c r="U86" s="120"/>
      <c r="V86" s="28">
        <v>0</v>
      </c>
      <c r="W86" s="28"/>
      <c r="X86" s="28"/>
      <c r="Y86" s="349">
        <f t="shared" si="36"/>
        <v>0</v>
      </c>
      <c r="Z86" s="120"/>
      <c r="AA86" s="373">
        <f t="shared" si="37"/>
        <v>0</v>
      </c>
      <c r="AB86" s="99"/>
      <c r="AC86" s="28">
        <v>0</v>
      </c>
      <c r="AD86" s="28"/>
      <c r="AE86" s="28"/>
      <c r="AF86" s="349">
        <f t="shared" si="38"/>
        <v>0</v>
      </c>
      <c r="AG86" s="120"/>
      <c r="AH86" s="28">
        <v>0</v>
      </c>
      <c r="AI86" s="28"/>
      <c r="AJ86" s="28"/>
      <c r="AK86" s="349">
        <f t="shared" si="39"/>
        <v>0</v>
      </c>
      <c r="AL86" s="373">
        <f t="shared" si="40"/>
        <v>0</v>
      </c>
    </row>
    <row r="87" spans="1:38" s="29" customFormat="1" ht="12.75" customHeight="1">
      <c r="A87" s="25">
        <v>78</v>
      </c>
      <c r="B87" s="34" t="s">
        <v>580</v>
      </c>
      <c r="C87" s="30" t="s">
        <v>581</v>
      </c>
      <c r="D87" s="28">
        <f t="shared" si="34"/>
        <v>234659.8</v>
      </c>
      <c r="E87" s="99"/>
      <c r="F87" s="28">
        <f>'Összesített ktgvetés'!H245</f>
        <v>64400</v>
      </c>
      <c r="G87" s="28"/>
      <c r="H87" s="28"/>
      <c r="I87" s="349">
        <f t="shared" si="10"/>
        <v>64400</v>
      </c>
      <c r="J87" s="120"/>
      <c r="K87" s="28">
        <f>'Összesített ktgvetés'!L245</f>
        <v>149000</v>
      </c>
      <c r="L87" s="28"/>
      <c r="M87" s="28"/>
      <c r="N87" s="349">
        <f t="shared" si="11"/>
        <v>149000</v>
      </c>
      <c r="O87" s="373">
        <f t="shared" si="35"/>
        <v>213400</v>
      </c>
      <c r="P87" s="99"/>
      <c r="Q87" s="28">
        <f>'Összesített ktgvetés'!Q245</f>
        <v>21259.800000000003</v>
      </c>
      <c r="R87" s="28"/>
      <c r="S87" s="28"/>
      <c r="T87" s="349">
        <f t="shared" si="12"/>
        <v>21259.800000000003</v>
      </c>
      <c r="U87" s="120"/>
      <c r="V87" s="28">
        <v>0</v>
      </c>
      <c r="W87" s="28"/>
      <c r="X87" s="28"/>
      <c r="Y87" s="349">
        <f t="shared" si="36"/>
        <v>0</v>
      </c>
      <c r="Z87" s="120"/>
      <c r="AA87" s="373">
        <f t="shared" si="37"/>
        <v>21259.800000000003</v>
      </c>
      <c r="AB87" s="99"/>
      <c r="AC87" s="28">
        <v>0</v>
      </c>
      <c r="AD87" s="28"/>
      <c r="AE87" s="28"/>
      <c r="AF87" s="349">
        <f t="shared" si="38"/>
        <v>0</v>
      </c>
      <c r="AG87" s="120"/>
      <c r="AH87" s="28">
        <v>0</v>
      </c>
      <c r="AI87" s="28"/>
      <c r="AJ87" s="28"/>
      <c r="AK87" s="349">
        <f t="shared" si="39"/>
        <v>0</v>
      </c>
      <c r="AL87" s="373">
        <f t="shared" si="40"/>
        <v>0</v>
      </c>
    </row>
    <row r="88" spans="1:38" s="40" customFormat="1" ht="12.75" customHeight="1">
      <c r="A88" s="113">
        <v>79</v>
      </c>
      <c r="B88" s="86" t="s">
        <v>582</v>
      </c>
      <c r="C88" s="114" t="s">
        <v>583</v>
      </c>
      <c r="D88" s="104">
        <f>SUM(D81:D87)</f>
        <v>1101999.8</v>
      </c>
      <c r="E88" s="107"/>
      <c r="F88" s="104">
        <f>SUM(F81:F87)</f>
        <v>300000</v>
      </c>
      <c r="G88" s="104">
        <f>SUM(G81:G87)</f>
        <v>0</v>
      </c>
      <c r="H88" s="104">
        <f>SUM(H81:H87)</f>
        <v>0</v>
      </c>
      <c r="I88" s="104">
        <f>SUM(I81:I87)</f>
        <v>300000</v>
      </c>
      <c r="J88" s="366"/>
      <c r="K88" s="104">
        <f>SUM(K81:K87)</f>
        <v>702000</v>
      </c>
      <c r="L88" s="104">
        <f>SUM(L81:L87)</f>
        <v>0</v>
      </c>
      <c r="M88" s="104">
        <f>SUM(M81:M87)</f>
        <v>0</v>
      </c>
      <c r="N88" s="104">
        <f>SUM(N81:N87)</f>
        <v>702000</v>
      </c>
      <c r="O88" s="104">
        <f>SUM(O81:O87)</f>
        <v>1002000</v>
      </c>
      <c r="P88" s="107"/>
      <c r="Q88" s="104">
        <f>SUM(Q81:Q87)</f>
        <v>99999.8</v>
      </c>
      <c r="R88" s="104">
        <f>SUM(R81:R87)</f>
        <v>0</v>
      </c>
      <c r="S88" s="104">
        <f>SUM(S81:S87)</f>
        <v>0</v>
      </c>
      <c r="T88" s="104">
        <f>SUM(T81:T87)</f>
        <v>99999.8</v>
      </c>
      <c r="U88" s="366"/>
      <c r="V88" s="104">
        <f>SUM(V81:V87)</f>
        <v>0</v>
      </c>
      <c r="W88" s="104">
        <f>SUM(W81:W87)</f>
        <v>0</v>
      </c>
      <c r="X88" s="104">
        <f>SUM(X81:X87)</f>
        <v>0</v>
      </c>
      <c r="Y88" s="104">
        <f>SUM(Y81:Y87)</f>
        <v>0</v>
      </c>
      <c r="Z88" s="366"/>
      <c r="AA88" s="104">
        <f>SUM(AA81:AA87)</f>
        <v>99999.8</v>
      </c>
      <c r="AB88" s="107"/>
      <c r="AC88" s="104">
        <f>SUM(AC81:AC87)</f>
        <v>0</v>
      </c>
      <c r="AD88" s="104">
        <f>SUM(AD81:AD87)</f>
        <v>0</v>
      </c>
      <c r="AE88" s="104">
        <f>SUM(AE81:AE87)</f>
        <v>0</v>
      </c>
      <c r="AF88" s="104">
        <f>SUM(AF81:AF87)</f>
        <v>0</v>
      </c>
      <c r="AG88" s="366"/>
      <c r="AH88" s="104">
        <f>SUM(AH81:AH87)</f>
        <v>0</v>
      </c>
      <c r="AI88" s="104">
        <f>SUM(AI81:AI87)</f>
        <v>0</v>
      </c>
      <c r="AJ88" s="104">
        <f>SUM(AJ81:AJ87)</f>
        <v>0</v>
      </c>
      <c r="AK88" s="104">
        <f>SUM(AK81:AK87)</f>
        <v>0</v>
      </c>
      <c r="AL88" s="104">
        <f>SUM(AL81:AL87)</f>
        <v>0</v>
      </c>
    </row>
    <row r="89" spans="1:38" s="29" customFormat="1" ht="12.75" customHeight="1">
      <c r="A89" s="25">
        <v>80</v>
      </c>
      <c r="B89" s="42" t="s">
        <v>370</v>
      </c>
      <c r="C89" s="30" t="s">
        <v>584</v>
      </c>
      <c r="D89" s="28">
        <f>O89+AA89+AL89</f>
        <v>700000</v>
      </c>
      <c r="E89" s="99"/>
      <c r="F89" s="28"/>
      <c r="G89" s="28"/>
      <c r="H89" s="28"/>
      <c r="I89" s="349">
        <f t="shared" si="10"/>
        <v>0</v>
      </c>
      <c r="J89" s="120"/>
      <c r="K89" s="28"/>
      <c r="L89" s="28"/>
      <c r="M89" s="28"/>
      <c r="N89" s="349">
        <f t="shared" si="11"/>
        <v>0</v>
      </c>
      <c r="O89" s="373">
        <f>I89+N89</f>
        <v>0</v>
      </c>
      <c r="P89" s="99"/>
      <c r="Q89" s="28">
        <v>700000</v>
      </c>
      <c r="R89" s="28"/>
      <c r="S89" s="28"/>
      <c r="T89" s="349">
        <f t="shared" si="12"/>
        <v>700000</v>
      </c>
      <c r="U89" s="120"/>
      <c r="V89" s="28">
        <v>0</v>
      </c>
      <c r="W89" s="28"/>
      <c r="X89" s="28"/>
      <c r="Y89" s="349">
        <f>SUM(V89:X89)</f>
        <v>0</v>
      </c>
      <c r="Z89" s="120"/>
      <c r="AA89" s="373">
        <f>T89+Y89</f>
        <v>700000</v>
      </c>
      <c r="AB89" s="99"/>
      <c r="AC89" s="28">
        <v>0</v>
      </c>
      <c r="AD89" s="28"/>
      <c r="AE89" s="28"/>
      <c r="AF89" s="349">
        <f>SUM(AC89:AE89)</f>
        <v>0</v>
      </c>
      <c r="AG89" s="120"/>
      <c r="AH89" s="28">
        <v>0</v>
      </c>
      <c r="AI89" s="28"/>
      <c r="AJ89" s="28"/>
      <c r="AK89" s="349">
        <f>SUM(AH89:AJ89)</f>
        <v>0</v>
      </c>
      <c r="AL89" s="373">
        <f>AF89+AK89</f>
        <v>0</v>
      </c>
    </row>
    <row r="90" spans="1:38" s="29" customFormat="1" ht="12.75" customHeight="1">
      <c r="A90" s="25">
        <v>81</v>
      </c>
      <c r="B90" s="42" t="s">
        <v>585</v>
      </c>
      <c r="C90" s="30" t="s">
        <v>586</v>
      </c>
      <c r="D90" s="28">
        <f>O90+AA90+AL90</f>
        <v>0</v>
      </c>
      <c r="E90" s="99"/>
      <c r="F90" s="28"/>
      <c r="G90" s="28"/>
      <c r="H90" s="28"/>
      <c r="I90" s="349">
        <f t="shared" si="10"/>
        <v>0</v>
      </c>
      <c r="J90" s="120"/>
      <c r="K90" s="28"/>
      <c r="L90" s="28"/>
      <c r="M90" s="28"/>
      <c r="N90" s="349">
        <f t="shared" si="11"/>
        <v>0</v>
      </c>
      <c r="O90" s="373">
        <f>I90+N90</f>
        <v>0</v>
      </c>
      <c r="P90" s="99"/>
      <c r="Q90" s="28">
        <v>0</v>
      </c>
      <c r="R90" s="28"/>
      <c r="S90" s="28"/>
      <c r="T90" s="349">
        <f t="shared" si="12"/>
        <v>0</v>
      </c>
      <c r="U90" s="120"/>
      <c r="V90" s="28">
        <v>0</v>
      </c>
      <c r="W90" s="28"/>
      <c r="X90" s="28"/>
      <c r="Y90" s="349">
        <f>SUM(V90:X90)</f>
        <v>0</v>
      </c>
      <c r="Z90" s="120"/>
      <c r="AA90" s="373">
        <f>T90+Y90</f>
        <v>0</v>
      </c>
      <c r="AB90" s="99"/>
      <c r="AC90" s="28">
        <v>0</v>
      </c>
      <c r="AD90" s="28"/>
      <c r="AE90" s="28"/>
      <c r="AF90" s="349">
        <f>SUM(AC90:AE90)</f>
        <v>0</v>
      </c>
      <c r="AG90" s="120"/>
      <c r="AH90" s="28">
        <v>0</v>
      </c>
      <c r="AI90" s="28"/>
      <c r="AJ90" s="28"/>
      <c r="AK90" s="349">
        <f>SUM(AH90:AJ90)</f>
        <v>0</v>
      </c>
      <c r="AL90" s="373">
        <f>AF90+AK90</f>
        <v>0</v>
      </c>
    </row>
    <row r="91" spans="1:38" s="29" customFormat="1" ht="12.75" customHeight="1">
      <c r="A91" s="25">
        <v>82</v>
      </c>
      <c r="B91" s="42" t="s">
        <v>587</v>
      </c>
      <c r="C91" s="30" t="s">
        <v>588</v>
      </c>
      <c r="D91" s="28">
        <f>O91+AA91+AL91</f>
        <v>0</v>
      </c>
      <c r="E91" s="99"/>
      <c r="F91" s="28"/>
      <c r="G91" s="28"/>
      <c r="H91" s="28"/>
      <c r="I91" s="349">
        <f t="shared" si="10"/>
        <v>0</v>
      </c>
      <c r="J91" s="120"/>
      <c r="K91" s="28"/>
      <c r="L91" s="28"/>
      <c r="M91" s="28"/>
      <c r="N91" s="349">
        <f t="shared" si="11"/>
        <v>0</v>
      </c>
      <c r="O91" s="373">
        <f>I91+N91</f>
        <v>0</v>
      </c>
      <c r="P91" s="99"/>
      <c r="Q91" s="28">
        <v>0</v>
      </c>
      <c r="R91" s="28"/>
      <c r="S91" s="28"/>
      <c r="T91" s="349">
        <f t="shared" si="12"/>
        <v>0</v>
      </c>
      <c r="U91" s="120"/>
      <c r="V91" s="28">
        <v>0</v>
      </c>
      <c r="W91" s="28"/>
      <c r="X91" s="28"/>
      <c r="Y91" s="349">
        <f>SUM(V91:X91)</f>
        <v>0</v>
      </c>
      <c r="Z91" s="120"/>
      <c r="AA91" s="373">
        <f>T91+Y91</f>
        <v>0</v>
      </c>
      <c r="AB91" s="99"/>
      <c r="AC91" s="28">
        <v>0</v>
      </c>
      <c r="AD91" s="28"/>
      <c r="AE91" s="28"/>
      <c r="AF91" s="349">
        <f>SUM(AC91:AE91)</f>
        <v>0</v>
      </c>
      <c r="AG91" s="120"/>
      <c r="AH91" s="28">
        <v>0</v>
      </c>
      <c r="AI91" s="28"/>
      <c r="AJ91" s="28"/>
      <c r="AK91" s="349">
        <f>SUM(AH91:AJ91)</f>
        <v>0</v>
      </c>
      <c r="AL91" s="373">
        <f>AF91+AK91</f>
        <v>0</v>
      </c>
    </row>
    <row r="92" spans="1:38" s="29" customFormat="1" ht="12.75" customHeight="1">
      <c r="A92" s="25">
        <v>83</v>
      </c>
      <c r="B92" s="42" t="s">
        <v>589</v>
      </c>
      <c r="C92" s="30" t="s">
        <v>590</v>
      </c>
      <c r="D92" s="28">
        <f>O92+AA92+AL92</f>
        <v>189000</v>
      </c>
      <c r="E92" s="99"/>
      <c r="F92" s="28"/>
      <c r="G92" s="28"/>
      <c r="H92" s="28"/>
      <c r="I92" s="349">
        <f t="shared" si="10"/>
        <v>0</v>
      </c>
      <c r="J92" s="120"/>
      <c r="K92" s="28"/>
      <c r="L92" s="28"/>
      <c r="M92" s="28"/>
      <c r="N92" s="349">
        <f t="shared" si="11"/>
        <v>0</v>
      </c>
      <c r="O92" s="373">
        <f>I92+N92</f>
        <v>0</v>
      </c>
      <c r="P92" s="99"/>
      <c r="Q92" s="28">
        <v>189000</v>
      </c>
      <c r="R92" s="28"/>
      <c r="S92" s="28"/>
      <c r="T92" s="349">
        <f t="shared" si="12"/>
        <v>189000</v>
      </c>
      <c r="U92" s="120"/>
      <c r="V92" s="28">
        <v>0</v>
      </c>
      <c r="W92" s="28"/>
      <c r="X92" s="28"/>
      <c r="Y92" s="349">
        <f>SUM(V92:X92)</f>
        <v>0</v>
      </c>
      <c r="Z92" s="120"/>
      <c r="AA92" s="373">
        <f>T92+Y92</f>
        <v>189000</v>
      </c>
      <c r="AB92" s="99"/>
      <c r="AC92" s="28">
        <v>0</v>
      </c>
      <c r="AD92" s="28"/>
      <c r="AE92" s="28"/>
      <c r="AF92" s="349">
        <f>SUM(AC92:AE92)</f>
        <v>0</v>
      </c>
      <c r="AG92" s="120"/>
      <c r="AH92" s="28">
        <v>0</v>
      </c>
      <c r="AI92" s="28"/>
      <c r="AJ92" s="28"/>
      <c r="AK92" s="349">
        <f>SUM(AH92:AJ92)</f>
        <v>0</v>
      </c>
      <c r="AL92" s="373">
        <f>AF92+AK92</f>
        <v>0</v>
      </c>
    </row>
    <row r="93" spans="1:38" s="40" customFormat="1" ht="12.75" customHeight="1">
      <c r="A93" s="113">
        <v>84</v>
      </c>
      <c r="B93" s="116" t="s">
        <v>591</v>
      </c>
      <c r="C93" s="114" t="s">
        <v>592</v>
      </c>
      <c r="D93" s="104">
        <f>SUM(D89:D92)</f>
        <v>889000</v>
      </c>
      <c r="E93" s="107"/>
      <c r="F93" s="104">
        <f>SUM(F89:F92)</f>
        <v>0</v>
      </c>
      <c r="G93" s="104">
        <f>SUM(G89:G92)</f>
        <v>0</v>
      </c>
      <c r="H93" s="104">
        <f>SUM(H89:H92)</f>
        <v>0</v>
      </c>
      <c r="I93" s="104">
        <f>SUM(I89:I92)</f>
        <v>0</v>
      </c>
      <c r="J93" s="366"/>
      <c r="K93" s="104">
        <f>SUM(K89:K92)</f>
        <v>0</v>
      </c>
      <c r="L93" s="104">
        <f>SUM(L89:L92)</f>
        <v>0</v>
      </c>
      <c r="M93" s="104">
        <f>SUM(M89:M92)</f>
        <v>0</v>
      </c>
      <c r="N93" s="104">
        <f>SUM(N89:N92)</f>
        <v>0</v>
      </c>
      <c r="O93" s="104">
        <f>SUM(O89:O92)</f>
        <v>0</v>
      </c>
      <c r="P93" s="107"/>
      <c r="Q93" s="104">
        <f>SUM(Q89:Q92)</f>
        <v>889000</v>
      </c>
      <c r="R93" s="104">
        <f>SUM(R89:R92)</f>
        <v>0</v>
      </c>
      <c r="S93" s="104">
        <f>SUM(S89:S92)</f>
        <v>0</v>
      </c>
      <c r="T93" s="104">
        <f>SUM(T89:T92)</f>
        <v>889000</v>
      </c>
      <c r="U93" s="366"/>
      <c r="V93" s="104">
        <f>SUM(V89:V92)</f>
        <v>0</v>
      </c>
      <c r="W93" s="104">
        <f>SUM(W89:W92)</f>
        <v>0</v>
      </c>
      <c r="X93" s="104">
        <f>SUM(X89:X92)</f>
        <v>0</v>
      </c>
      <c r="Y93" s="104">
        <f>SUM(Y89:Y92)</f>
        <v>0</v>
      </c>
      <c r="Z93" s="366"/>
      <c r="AA93" s="104">
        <f>SUM(AA89:AA92)</f>
        <v>889000</v>
      </c>
      <c r="AB93" s="107"/>
      <c r="AC93" s="104">
        <f>SUM(AC89:AC92)</f>
        <v>0</v>
      </c>
      <c r="AD93" s="104">
        <f>SUM(AD89:AD92)</f>
        <v>0</v>
      </c>
      <c r="AE93" s="104">
        <f>SUM(AE89:AE92)</f>
        <v>0</v>
      </c>
      <c r="AF93" s="104">
        <f>SUM(AF89:AF92)</f>
        <v>0</v>
      </c>
      <c r="AG93" s="366"/>
      <c r="AH93" s="104">
        <f>SUM(AH89:AH92)</f>
        <v>0</v>
      </c>
      <c r="AI93" s="104">
        <f>SUM(AI89:AI92)</f>
        <v>0</v>
      </c>
      <c r="AJ93" s="104">
        <f>SUM(AJ89:AJ92)</f>
        <v>0</v>
      </c>
      <c r="AK93" s="104">
        <f>SUM(AK89:AK92)</f>
        <v>0</v>
      </c>
      <c r="AL93" s="104">
        <f>SUM(AL89:AL92)</f>
        <v>0</v>
      </c>
    </row>
    <row r="94" spans="1:38" s="99" customFormat="1" ht="13.5" customHeight="1" hidden="1">
      <c r="A94" s="121">
        <v>85</v>
      </c>
      <c r="B94" s="125" t="s">
        <v>593</v>
      </c>
      <c r="C94" s="123" t="s">
        <v>594</v>
      </c>
      <c r="D94" s="44">
        <f aca="true" t="shared" si="41" ref="D94:D102">O94+AA94+AL94</f>
        <v>0</v>
      </c>
      <c r="F94" s="44"/>
      <c r="G94" s="44"/>
      <c r="H94" s="44"/>
      <c r="I94" s="349">
        <f aca="true" t="shared" si="42" ref="I94:I102">SUM(F94:H94)</f>
        <v>0</v>
      </c>
      <c r="J94" s="120"/>
      <c r="K94" s="44"/>
      <c r="L94" s="44"/>
      <c r="M94" s="44"/>
      <c r="N94" s="349">
        <f aca="true" t="shared" si="43" ref="N94:N102">SUM(K94:M94)</f>
        <v>0</v>
      </c>
      <c r="O94" s="373">
        <f aca="true" t="shared" si="44" ref="O94:O102">I94+N94</f>
        <v>0</v>
      </c>
      <c r="Q94" s="44">
        <v>0</v>
      </c>
      <c r="R94" s="44"/>
      <c r="S94" s="44"/>
      <c r="T94" s="349">
        <f aca="true" t="shared" si="45" ref="T94:T102">SUM(Q94:S94)</f>
        <v>0</v>
      </c>
      <c r="U94" s="120"/>
      <c r="V94" s="28">
        <v>0</v>
      </c>
      <c r="W94" s="44"/>
      <c r="X94" s="44"/>
      <c r="Y94" s="349">
        <f aca="true" t="shared" si="46" ref="Y94:Y102">SUM(V94:X94)</f>
        <v>0</v>
      </c>
      <c r="Z94" s="120"/>
      <c r="AA94" s="373">
        <f aca="true" t="shared" si="47" ref="AA94:AA102">T94+Y94</f>
        <v>0</v>
      </c>
      <c r="AC94" s="28">
        <v>0</v>
      </c>
      <c r="AD94" s="44"/>
      <c r="AE94" s="44"/>
      <c r="AF94" s="349">
        <f aca="true" t="shared" si="48" ref="AF94:AF102">SUM(AC94:AE94)</f>
        <v>0</v>
      </c>
      <c r="AG94" s="120"/>
      <c r="AH94" s="28">
        <v>0</v>
      </c>
      <c r="AI94" s="44"/>
      <c r="AJ94" s="44"/>
      <c r="AK94" s="349">
        <f aca="true" t="shared" si="49" ref="AK94:AK102">SUM(AH94:AJ94)</f>
        <v>0</v>
      </c>
      <c r="AL94" s="373">
        <f aca="true" t="shared" si="50" ref="AL94:AL102">AF94+AK94</f>
        <v>0</v>
      </c>
    </row>
    <row r="95" spans="1:38" s="99" customFormat="1" ht="13.5" customHeight="1" hidden="1">
      <c r="A95" s="121">
        <v>86</v>
      </c>
      <c r="B95" s="125" t="s">
        <v>595</v>
      </c>
      <c r="C95" s="123" t="s">
        <v>596</v>
      </c>
      <c r="D95" s="44">
        <f t="shared" si="41"/>
        <v>0</v>
      </c>
      <c r="F95" s="44"/>
      <c r="G95" s="44"/>
      <c r="H95" s="44"/>
      <c r="I95" s="349">
        <f t="shared" si="42"/>
        <v>0</v>
      </c>
      <c r="J95" s="120"/>
      <c r="K95" s="44"/>
      <c r="L95" s="44"/>
      <c r="M95" s="44"/>
      <c r="N95" s="349">
        <f t="shared" si="43"/>
        <v>0</v>
      </c>
      <c r="O95" s="373">
        <f t="shared" si="44"/>
        <v>0</v>
      </c>
      <c r="Q95" s="44">
        <v>0</v>
      </c>
      <c r="R95" s="44"/>
      <c r="S95" s="44"/>
      <c r="T95" s="349">
        <f t="shared" si="45"/>
        <v>0</v>
      </c>
      <c r="U95" s="120"/>
      <c r="V95" s="28">
        <v>0</v>
      </c>
      <c r="W95" s="44"/>
      <c r="X95" s="44"/>
      <c r="Y95" s="349">
        <f t="shared" si="46"/>
        <v>0</v>
      </c>
      <c r="Z95" s="120"/>
      <c r="AA95" s="373">
        <f t="shared" si="47"/>
        <v>0</v>
      </c>
      <c r="AC95" s="28">
        <v>0</v>
      </c>
      <c r="AD95" s="44"/>
      <c r="AE95" s="44"/>
      <c r="AF95" s="349">
        <f t="shared" si="48"/>
        <v>0</v>
      </c>
      <c r="AG95" s="120"/>
      <c r="AH95" s="28">
        <v>0</v>
      </c>
      <c r="AI95" s="44"/>
      <c r="AJ95" s="44"/>
      <c r="AK95" s="349">
        <f t="shared" si="49"/>
        <v>0</v>
      </c>
      <c r="AL95" s="373">
        <f t="shared" si="50"/>
        <v>0</v>
      </c>
    </row>
    <row r="96" spans="1:38" s="99" customFormat="1" ht="13.5" customHeight="1" hidden="1">
      <c r="A96" s="121">
        <v>87</v>
      </c>
      <c r="B96" s="125" t="s">
        <v>597</v>
      </c>
      <c r="C96" s="123" t="s">
        <v>598</v>
      </c>
      <c r="D96" s="44">
        <f t="shared" si="41"/>
        <v>0</v>
      </c>
      <c r="F96" s="44"/>
      <c r="G96" s="44"/>
      <c r="H96" s="44"/>
      <c r="I96" s="349">
        <f t="shared" si="42"/>
        <v>0</v>
      </c>
      <c r="J96" s="120"/>
      <c r="K96" s="44"/>
      <c r="L96" s="44"/>
      <c r="M96" s="44"/>
      <c r="N96" s="349">
        <f t="shared" si="43"/>
        <v>0</v>
      </c>
      <c r="O96" s="373">
        <f t="shared" si="44"/>
        <v>0</v>
      </c>
      <c r="Q96" s="44">
        <v>0</v>
      </c>
      <c r="R96" s="44"/>
      <c r="S96" s="44"/>
      <c r="T96" s="349">
        <f t="shared" si="45"/>
        <v>0</v>
      </c>
      <c r="U96" s="120"/>
      <c r="V96" s="28">
        <v>0</v>
      </c>
      <c r="W96" s="44"/>
      <c r="X96" s="44"/>
      <c r="Y96" s="349">
        <f t="shared" si="46"/>
        <v>0</v>
      </c>
      <c r="Z96" s="120"/>
      <c r="AA96" s="373">
        <f t="shared" si="47"/>
        <v>0</v>
      </c>
      <c r="AC96" s="28">
        <v>0</v>
      </c>
      <c r="AD96" s="44"/>
      <c r="AE96" s="44"/>
      <c r="AF96" s="349">
        <f t="shared" si="48"/>
        <v>0</v>
      </c>
      <c r="AG96" s="120"/>
      <c r="AH96" s="28">
        <v>0</v>
      </c>
      <c r="AI96" s="44"/>
      <c r="AJ96" s="44"/>
      <c r="AK96" s="349">
        <f t="shared" si="49"/>
        <v>0</v>
      </c>
      <c r="AL96" s="373">
        <f t="shared" si="50"/>
        <v>0</v>
      </c>
    </row>
    <row r="97" spans="1:38" s="99" customFormat="1" ht="13.5" customHeight="1" hidden="1">
      <c r="A97" s="121">
        <v>88</v>
      </c>
      <c r="B97" s="125" t="s">
        <v>599</v>
      </c>
      <c r="C97" s="123" t="s">
        <v>600</v>
      </c>
      <c r="D97" s="44">
        <f t="shared" si="41"/>
        <v>0</v>
      </c>
      <c r="F97" s="44"/>
      <c r="G97" s="44"/>
      <c r="H97" s="44"/>
      <c r="I97" s="349">
        <f t="shared" si="42"/>
        <v>0</v>
      </c>
      <c r="J97" s="120"/>
      <c r="K97" s="44"/>
      <c r="L97" s="44"/>
      <c r="M97" s="44"/>
      <c r="N97" s="349">
        <f t="shared" si="43"/>
        <v>0</v>
      </c>
      <c r="O97" s="373">
        <f t="shared" si="44"/>
        <v>0</v>
      </c>
      <c r="Q97" s="44">
        <v>0</v>
      </c>
      <c r="R97" s="44"/>
      <c r="S97" s="44"/>
      <c r="T97" s="349">
        <f t="shared" si="45"/>
        <v>0</v>
      </c>
      <c r="U97" s="120"/>
      <c r="V97" s="28">
        <v>0</v>
      </c>
      <c r="W97" s="44"/>
      <c r="X97" s="44"/>
      <c r="Y97" s="349">
        <f t="shared" si="46"/>
        <v>0</v>
      </c>
      <c r="Z97" s="120"/>
      <c r="AA97" s="373">
        <f t="shared" si="47"/>
        <v>0</v>
      </c>
      <c r="AC97" s="28">
        <v>0</v>
      </c>
      <c r="AD97" s="44"/>
      <c r="AE97" s="44"/>
      <c r="AF97" s="349">
        <f t="shared" si="48"/>
        <v>0</v>
      </c>
      <c r="AG97" s="120"/>
      <c r="AH97" s="28">
        <v>0</v>
      </c>
      <c r="AI97" s="44"/>
      <c r="AJ97" s="44"/>
      <c r="AK97" s="349">
        <f t="shared" si="49"/>
        <v>0</v>
      </c>
      <c r="AL97" s="373">
        <f t="shared" si="50"/>
        <v>0</v>
      </c>
    </row>
    <row r="98" spans="1:38" s="99" customFormat="1" ht="13.5" customHeight="1" hidden="1">
      <c r="A98" s="121">
        <v>89</v>
      </c>
      <c r="B98" s="125" t="s">
        <v>601</v>
      </c>
      <c r="C98" s="123" t="s">
        <v>602</v>
      </c>
      <c r="D98" s="44">
        <f t="shared" si="41"/>
        <v>0</v>
      </c>
      <c r="F98" s="44"/>
      <c r="G98" s="44"/>
      <c r="H98" s="44"/>
      <c r="I98" s="349">
        <f t="shared" si="42"/>
        <v>0</v>
      </c>
      <c r="J98" s="120"/>
      <c r="K98" s="44"/>
      <c r="L98" s="44"/>
      <c r="M98" s="44"/>
      <c r="N98" s="349">
        <f t="shared" si="43"/>
        <v>0</v>
      </c>
      <c r="O98" s="373">
        <f t="shared" si="44"/>
        <v>0</v>
      </c>
      <c r="Q98" s="44">
        <v>0</v>
      </c>
      <c r="R98" s="44"/>
      <c r="S98" s="44"/>
      <c r="T98" s="349">
        <f t="shared" si="45"/>
        <v>0</v>
      </c>
      <c r="U98" s="120"/>
      <c r="V98" s="28">
        <v>0</v>
      </c>
      <c r="W98" s="44"/>
      <c r="X98" s="44"/>
      <c r="Y98" s="349">
        <f t="shared" si="46"/>
        <v>0</v>
      </c>
      <c r="Z98" s="120"/>
      <c r="AA98" s="373">
        <f t="shared" si="47"/>
        <v>0</v>
      </c>
      <c r="AC98" s="28">
        <v>0</v>
      </c>
      <c r="AD98" s="44"/>
      <c r="AE98" s="44"/>
      <c r="AF98" s="349">
        <f t="shared" si="48"/>
        <v>0</v>
      </c>
      <c r="AG98" s="120"/>
      <c r="AH98" s="28">
        <v>0</v>
      </c>
      <c r="AI98" s="44"/>
      <c r="AJ98" s="44"/>
      <c r="AK98" s="349">
        <f t="shared" si="49"/>
        <v>0</v>
      </c>
      <c r="AL98" s="373">
        <f t="shared" si="50"/>
        <v>0</v>
      </c>
    </row>
    <row r="99" spans="1:38" s="99" customFormat="1" ht="13.5" customHeight="1" hidden="1">
      <c r="A99" s="121">
        <v>90</v>
      </c>
      <c r="B99" s="125" t="s">
        <v>603</v>
      </c>
      <c r="C99" s="123" t="s">
        <v>604</v>
      </c>
      <c r="D99" s="44">
        <f t="shared" si="41"/>
        <v>0</v>
      </c>
      <c r="F99" s="44"/>
      <c r="G99" s="44"/>
      <c r="H99" s="44"/>
      <c r="I99" s="349">
        <f t="shared" si="42"/>
        <v>0</v>
      </c>
      <c r="J99" s="120"/>
      <c r="K99" s="44"/>
      <c r="L99" s="44"/>
      <c r="M99" s="44"/>
      <c r="N99" s="349">
        <f t="shared" si="43"/>
        <v>0</v>
      </c>
      <c r="O99" s="373">
        <f t="shared" si="44"/>
        <v>0</v>
      </c>
      <c r="Q99" s="44">
        <v>0</v>
      </c>
      <c r="R99" s="44"/>
      <c r="S99" s="44"/>
      <c r="T99" s="349">
        <f t="shared" si="45"/>
        <v>0</v>
      </c>
      <c r="U99" s="120"/>
      <c r="V99" s="28">
        <v>0</v>
      </c>
      <c r="W99" s="44"/>
      <c r="X99" s="44"/>
      <c r="Y99" s="349">
        <f t="shared" si="46"/>
        <v>0</v>
      </c>
      <c r="Z99" s="120"/>
      <c r="AA99" s="373">
        <f t="shared" si="47"/>
        <v>0</v>
      </c>
      <c r="AC99" s="28">
        <v>0</v>
      </c>
      <c r="AD99" s="44"/>
      <c r="AE99" s="44"/>
      <c r="AF99" s="349">
        <f t="shared" si="48"/>
        <v>0</v>
      </c>
      <c r="AG99" s="120"/>
      <c r="AH99" s="28">
        <v>0</v>
      </c>
      <c r="AI99" s="44"/>
      <c r="AJ99" s="44"/>
      <c r="AK99" s="349">
        <f t="shared" si="49"/>
        <v>0</v>
      </c>
      <c r="AL99" s="373">
        <f t="shared" si="50"/>
        <v>0</v>
      </c>
    </row>
    <row r="100" spans="1:38" s="99" customFormat="1" ht="13.5" customHeight="1" hidden="1">
      <c r="A100" s="121">
        <v>91</v>
      </c>
      <c r="B100" s="125" t="s">
        <v>605</v>
      </c>
      <c r="C100" s="123" t="s">
        <v>606</v>
      </c>
      <c r="D100" s="44">
        <f t="shared" si="41"/>
        <v>0</v>
      </c>
      <c r="F100" s="44"/>
      <c r="G100" s="44"/>
      <c r="H100" s="44"/>
      <c r="I100" s="349">
        <f t="shared" si="42"/>
        <v>0</v>
      </c>
      <c r="J100" s="120"/>
      <c r="K100" s="44"/>
      <c r="L100" s="44"/>
      <c r="M100" s="44"/>
      <c r="N100" s="349">
        <f t="shared" si="43"/>
        <v>0</v>
      </c>
      <c r="O100" s="373">
        <f t="shared" si="44"/>
        <v>0</v>
      </c>
      <c r="Q100" s="44">
        <v>0</v>
      </c>
      <c r="R100" s="44"/>
      <c r="S100" s="44"/>
      <c r="T100" s="349">
        <f t="shared" si="45"/>
        <v>0</v>
      </c>
      <c r="U100" s="120"/>
      <c r="V100" s="28">
        <v>0</v>
      </c>
      <c r="W100" s="44"/>
      <c r="X100" s="44"/>
      <c r="Y100" s="349">
        <f t="shared" si="46"/>
        <v>0</v>
      </c>
      <c r="Z100" s="120"/>
      <c r="AA100" s="373">
        <f t="shared" si="47"/>
        <v>0</v>
      </c>
      <c r="AC100" s="28">
        <v>0</v>
      </c>
      <c r="AD100" s="44"/>
      <c r="AE100" s="44"/>
      <c r="AF100" s="349">
        <f t="shared" si="48"/>
        <v>0</v>
      </c>
      <c r="AG100" s="120"/>
      <c r="AH100" s="28">
        <v>0</v>
      </c>
      <c r="AI100" s="44"/>
      <c r="AJ100" s="44"/>
      <c r="AK100" s="349">
        <f t="shared" si="49"/>
        <v>0</v>
      </c>
      <c r="AL100" s="373">
        <f t="shared" si="50"/>
        <v>0</v>
      </c>
    </row>
    <row r="101" spans="1:38" s="29" customFormat="1" ht="13.5" customHeight="1" hidden="1">
      <c r="A101" s="25">
        <v>92</v>
      </c>
      <c r="B101" s="42" t="s">
        <v>607</v>
      </c>
      <c r="C101" s="30" t="s">
        <v>608</v>
      </c>
      <c r="D101" s="28">
        <f t="shared" si="41"/>
        <v>0</v>
      </c>
      <c r="E101" s="99"/>
      <c r="F101" s="28"/>
      <c r="G101" s="28"/>
      <c r="H101" s="28"/>
      <c r="I101" s="349">
        <f t="shared" si="42"/>
        <v>0</v>
      </c>
      <c r="J101" s="120"/>
      <c r="K101" s="28"/>
      <c r="L101" s="28"/>
      <c r="M101" s="28"/>
      <c r="N101" s="349">
        <f t="shared" si="43"/>
        <v>0</v>
      </c>
      <c r="O101" s="373">
        <f t="shared" si="44"/>
        <v>0</v>
      </c>
      <c r="P101" s="99"/>
      <c r="Q101" s="28">
        <v>0</v>
      </c>
      <c r="R101" s="28"/>
      <c r="S101" s="28"/>
      <c r="T101" s="349">
        <f t="shared" si="45"/>
        <v>0</v>
      </c>
      <c r="U101" s="120"/>
      <c r="V101" s="28">
        <v>0</v>
      </c>
      <c r="W101" s="28"/>
      <c r="X101" s="28"/>
      <c r="Y101" s="349">
        <f t="shared" si="46"/>
        <v>0</v>
      </c>
      <c r="Z101" s="120"/>
      <c r="AA101" s="373">
        <f t="shared" si="47"/>
        <v>0</v>
      </c>
      <c r="AB101" s="99"/>
      <c r="AC101" s="28">
        <v>0</v>
      </c>
      <c r="AD101" s="28"/>
      <c r="AE101" s="28"/>
      <c r="AF101" s="349">
        <f t="shared" si="48"/>
        <v>0</v>
      </c>
      <c r="AG101" s="120"/>
      <c r="AH101" s="28">
        <v>0</v>
      </c>
      <c r="AI101" s="28"/>
      <c r="AJ101" s="28"/>
      <c r="AK101" s="349">
        <f t="shared" si="49"/>
        <v>0</v>
      </c>
      <c r="AL101" s="373">
        <f t="shared" si="50"/>
        <v>0</v>
      </c>
    </row>
    <row r="102" spans="1:38" s="29" customFormat="1" ht="13.5" customHeight="1" hidden="1">
      <c r="A102" s="25">
        <v>93</v>
      </c>
      <c r="B102" s="42" t="s">
        <v>609</v>
      </c>
      <c r="C102" s="30" t="s">
        <v>610</v>
      </c>
      <c r="D102" s="28">
        <f t="shared" si="41"/>
        <v>0</v>
      </c>
      <c r="E102" s="99"/>
      <c r="F102" s="28"/>
      <c r="G102" s="28"/>
      <c r="H102" s="28"/>
      <c r="I102" s="349">
        <f t="shared" si="42"/>
        <v>0</v>
      </c>
      <c r="J102" s="120"/>
      <c r="K102" s="28"/>
      <c r="L102" s="28"/>
      <c r="M102" s="28"/>
      <c r="N102" s="349">
        <f t="shared" si="43"/>
        <v>0</v>
      </c>
      <c r="O102" s="373">
        <f t="shared" si="44"/>
        <v>0</v>
      </c>
      <c r="P102" s="99"/>
      <c r="Q102" s="28">
        <v>0</v>
      </c>
      <c r="R102" s="28"/>
      <c r="S102" s="28"/>
      <c r="T102" s="349">
        <f t="shared" si="45"/>
        <v>0</v>
      </c>
      <c r="U102" s="120"/>
      <c r="V102" s="28">
        <v>0</v>
      </c>
      <c r="W102" s="28"/>
      <c r="X102" s="28"/>
      <c r="Y102" s="349">
        <f t="shared" si="46"/>
        <v>0</v>
      </c>
      <c r="Z102" s="120"/>
      <c r="AA102" s="373">
        <f t="shared" si="47"/>
        <v>0</v>
      </c>
      <c r="AB102" s="99"/>
      <c r="AC102" s="28">
        <v>0</v>
      </c>
      <c r="AD102" s="28"/>
      <c r="AE102" s="28"/>
      <c r="AF102" s="349">
        <f t="shared" si="48"/>
        <v>0</v>
      </c>
      <c r="AG102" s="120"/>
      <c r="AH102" s="28">
        <v>0</v>
      </c>
      <c r="AI102" s="28"/>
      <c r="AJ102" s="28"/>
      <c r="AK102" s="349">
        <f t="shared" si="49"/>
        <v>0</v>
      </c>
      <c r="AL102" s="373">
        <f t="shared" si="50"/>
        <v>0</v>
      </c>
    </row>
    <row r="103" spans="1:38" ht="12.75" customHeight="1">
      <c r="A103" s="113">
        <v>94</v>
      </c>
      <c r="B103" s="116" t="s">
        <v>611</v>
      </c>
      <c r="C103" s="114" t="s">
        <v>612</v>
      </c>
      <c r="D103" s="104">
        <f>SUM(D94:D102)</f>
        <v>0</v>
      </c>
      <c r="F103" s="104">
        <f>SUM(F94:F102)</f>
        <v>0</v>
      </c>
      <c r="G103" s="104">
        <f>SUM(G94:G102)</f>
        <v>0</v>
      </c>
      <c r="H103" s="104">
        <f>SUM(H94:H102)</f>
        <v>0</v>
      </c>
      <c r="I103" s="104">
        <f>SUM(I94:I102)</f>
        <v>0</v>
      </c>
      <c r="J103" s="366"/>
      <c r="K103" s="104">
        <f>SUM(K94:K102)</f>
        <v>0</v>
      </c>
      <c r="L103" s="104">
        <f>SUM(L94:L102)</f>
        <v>0</v>
      </c>
      <c r="M103" s="104">
        <f>SUM(M94:M102)</f>
        <v>0</v>
      </c>
      <c r="N103" s="104">
        <f>SUM(N94:N102)</f>
        <v>0</v>
      </c>
      <c r="O103" s="104">
        <f>SUM(O94:O102)</f>
        <v>0</v>
      </c>
      <c r="Q103" s="104">
        <f>SUM(Q94:Q102)</f>
        <v>0</v>
      </c>
      <c r="R103" s="104">
        <f>SUM(R94:R102)</f>
        <v>0</v>
      </c>
      <c r="S103" s="104">
        <f>SUM(S94:S102)</f>
        <v>0</v>
      </c>
      <c r="T103" s="104">
        <f>SUM(T94:T102)</f>
        <v>0</v>
      </c>
      <c r="U103" s="366"/>
      <c r="V103" s="104">
        <f>SUM(V94:V102)</f>
        <v>0</v>
      </c>
      <c r="W103" s="104">
        <f>SUM(W94:W102)</f>
        <v>0</v>
      </c>
      <c r="X103" s="104">
        <f>SUM(X94:X102)</f>
        <v>0</v>
      </c>
      <c r="Y103" s="104">
        <f>SUM(Y94:Y102)</f>
        <v>0</v>
      </c>
      <c r="Z103" s="366"/>
      <c r="AA103" s="104">
        <f>SUM(AA94:AA102)</f>
        <v>0</v>
      </c>
      <c r="AC103" s="104">
        <f>SUM(AC94:AC102)</f>
        <v>0</v>
      </c>
      <c r="AD103" s="104">
        <f>SUM(AD94:AD102)</f>
        <v>0</v>
      </c>
      <c r="AE103" s="104">
        <f>SUM(AE94:AE102)</f>
        <v>0</v>
      </c>
      <c r="AF103" s="104">
        <f>SUM(AF94:AF102)</f>
        <v>0</v>
      </c>
      <c r="AG103" s="366"/>
      <c r="AH103" s="104">
        <f>SUM(AH94:AH102)</f>
        <v>0</v>
      </c>
      <c r="AI103" s="104">
        <f>SUM(AI94:AI102)</f>
        <v>0</v>
      </c>
      <c r="AJ103" s="104">
        <f>SUM(AJ94:AJ102)</f>
        <v>0</v>
      </c>
      <c r="AK103" s="104">
        <f>SUM(AK94:AK102)</f>
        <v>0</v>
      </c>
      <c r="AL103" s="104">
        <f>SUM(AL94:AL102)</f>
        <v>0</v>
      </c>
    </row>
    <row r="104" spans="1:38" s="40" customFormat="1" ht="12.75" customHeight="1">
      <c r="A104" s="374">
        <v>95</v>
      </c>
      <c r="B104" s="88" t="s">
        <v>613</v>
      </c>
      <c r="C104" s="375" t="s">
        <v>614</v>
      </c>
      <c r="D104" s="89">
        <f>D103+D93+D88+D80+D63+D54+D29+D28</f>
        <v>327949999.8</v>
      </c>
      <c r="E104" s="107"/>
      <c r="F104" s="89">
        <f>F103+F93+F88+F80+F63+F54+F29+F28</f>
        <v>42135000</v>
      </c>
      <c r="G104" s="89">
        <f>G103+G93+G88+G80+G63+G54+G29+G28</f>
        <v>0</v>
      </c>
      <c r="H104" s="89">
        <f>H103+H93+H88+H80+H63+H54+H29+H28</f>
        <v>0</v>
      </c>
      <c r="I104" s="89">
        <f>I103+I93+I88+I80+I63+I54+I29+I28</f>
        <v>42135000</v>
      </c>
      <c r="J104" s="366"/>
      <c r="K104" s="89">
        <f>K103+K93+K88+K80+K63+K54+K29+K28</f>
        <v>42965000</v>
      </c>
      <c r="L104" s="89">
        <f>L103+L93+L88+L80+L63+L54+L29+L28</f>
        <v>0</v>
      </c>
      <c r="M104" s="89">
        <f>M103+M93+M88+M80+M63+M54+M29+M28</f>
        <v>0</v>
      </c>
      <c r="N104" s="89">
        <f>N103+N93+N88+N80+N63+N54+N29+N28</f>
        <v>42965000</v>
      </c>
      <c r="O104" s="89">
        <f>O103+O93+O88+O80+O63+O54+O29+O28</f>
        <v>85100000</v>
      </c>
      <c r="P104" s="107"/>
      <c r="Q104" s="89">
        <f>Q103+Q93+Q88+Q80+Q63+Q54+Q29+Q28</f>
        <v>29801999.8</v>
      </c>
      <c r="R104" s="89">
        <f>R103+R93+R88+R80+R63+R54+R29+R28</f>
        <v>0</v>
      </c>
      <c r="S104" s="89">
        <f>S103+S93+S88+S80+S63+S54+S29+S28</f>
        <v>0</v>
      </c>
      <c r="T104" s="89">
        <f>T103+T93+T88+T80+T63+T54+T29+T28</f>
        <v>29801999.8</v>
      </c>
      <c r="U104" s="364"/>
      <c r="V104" s="89">
        <f>V103+V93+V88+V80+V63+V54+V29+V28</f>
        <v>9298000</v>
      </c>
      <c r="W104" s="89">
        <f>W103+W93+W88+W80+W63+W54+W29+W28</f>
        <v>0</v>
      </c>
      <c r="X104" s="89">
        <f>X103+X93+X88+X80+X63+X54+X29+X28</f>
        <v>0</v>
      </c>
      <c r="Y104" s="89">
        <f>Y103+Y93+Y88+Y80+Y63+Y54+Y29+Y28</f>
        <v>9298000</v>
      </c>
      <c r="Z104" s="366"/>
      <c r="AA104" s="89">
        <f>AA103+AA93+AA88+AA80+AA63+AA54+AA29+AA28</f>
        <v>39099999.8</v>
      </c>
      <c r="AB104" s="107"/>
      <c r="AC104" s="89">
        <f>AC103+AC93+AC88+AC80+AC63+AC54+AC29+AC28</f>
        <v>89580000</v>
      </c>
      <c r="AD104" s="89">
        <f>AD103+AD93+AD88+AD80+AD63+AD54+AD29+AD28</f>
        <v>12740000</v>
      </c>
      <c r="AE104" s="89">
        <f>AE103+AE93+AE88+AE80+AE63+AE54+AE29+AE28</f>
        <v>0</v>
      </c>
      <c r="AF104" s="89">
        <f>AF103+AF93+AF88+AF80+AF63+AF54+AF29+AF28</f>
        <v>102320000</v>
      </c>
      <c r="AG104" s="366"/>
      <c r="AH104" s="89">
        <f>AH103+AH93+AH88+AH80+AH63+AH54+AH29+AH28</f>
        <v>114170000</v>
      </c>
      <c r="AI104" s="89">
        <f>AI103+AI93+AI88+AI80+AI63+AI54+AI29+AI28</f>
        <v>-12740000</v>
      </c>
      <c r="AJ104" s="89">
        <f>AJ103+AJ93+AJ88+AJ80+AJ63+AJ54+AJ29+AJ28</f>
        <v>0</v>
      </c>
      <c r="AK104" s="89">
        <f>AK103+AK93+AK88+AK80+AK63+AK54+AK29+AK28</f>
        <v>101430000</v>
      </c>
      <c r="AL104" s="89">
        <f>AL103+AL93+AL88+AL80+AL63+AL54+AL29+AL28</f>
        <v>203750000</v>
      </c>
    </row>
    <row r="105" spans="1:38" s="80" customFormat="1" ht="7.5" customHeight="1">
      <c r="A105" s="346"/>
      <c r="B105" s="347"/>
      <c r="C105" s="347"/>
      <c r="D105" s="348"/>
      <c r="F105" s="348"/>
      <c r="G105" s="348"/>
      <c r="H105" s="348"/>
      <c r="I105" s="360"/>
      <c r="J105" s="363"/>
      <c r="K105" s="361"/>
      <c r="L105" s="361"/>
      <c r="M105" s="361"/>
      <c r="N105" s="361"/>
      <c r="O105" s="348"/>
      <c r="Q105" s="348"/>
      <c r="R105" s="348"/>
      <c r="S105" s="348"/>
      <c r="T105" s="360"/>
      <c r="U105" s="363"/>
      <c r="V105" s="348"/>
      <c r="W105" s="348"/>
      <c r="X105" s="348"/>
      <c r="Y105" s="360"/>
      <c r="Z105" s="363"/>
      <c r="AA105" s="348"/>
      <c r="AC105" s="348"/>
      <c r="AD105" s="348"/>
      <c r="AE105" s="348"/>
      <c r="AF105" s="360"/>
      <c r="AG105" s="363"/>
      <c r="AH105" s="348"/>
      <c r="AI105" s="348"/>
      <c r="AJ105" s="348"/>
      <c r="AK105" s="360"/>
      <c r="AL105" s="348"/>
    </row>
    <row r="106" spans="1:38" ht="12.75" hidden="1">
      <c r="A106" s="91" t="s">
        <v>377</v>
      </c>
      <c r="B106" s="42" t="s">
        <v>763</v>
      </c>
      <c r="C106" s="32" t="s">
        <v>764</v>
      </c>
      <c r="D106" s="343">
        <f>O106+AC106+AM106</f>
        <v>0</v>
      </c>
      <c r="F106" s="343">
        <v>0</v>
      </c>
      <c r="G106" s="343"/>
      <c r="H106" s="343"/>
      <c r="I106" s="349">
        <f aca="true" t="shared" si="51" ref="I106:I134">SUM(F106:H106)</f>
        <v>0</v>
      </c>
      <c r="J106" s="120"/>
      <c r="K106" s="343">
        <v>0</v>
      </c>
      <c r="L106" s="343"/>
      <c r="M106" s="343"/>
      <c r="N106" s="349">
        <f>SUM(K106:M106)</f>
        <v>0</v>
      </c>
      <c r="O106" s="373">
        <f>AA106+AM106+AQ106</f>
        <v>0</v>
      </c>
      <c r="Q106" s="343">
        <v>0</v>
      </c>
      <c r="R106" s="343"/>
      <c r="S106" s="343"/>
      <c r="T106" s="349">
        <f>SUM(Q106:S106)</f>
        <v>0</v>
      </c>
      <c r="U106" s="120"/>
      <c r="V106" s="343">
        <v>0</v>
      </c>
      <c r="W106" s="343"/>
      <c r="X106" s="343"/>
      <c r="Y106" s="349">
        <f>SUM(V106:X106)</f>
        <v>0</v>
      </c>
      <c r="Z106" s="120"/>
      <c r="AA106" s="373">
        <f>BG106+BM106+BQ106</f>
        <v>0</v>
      </c>
      <c r="AC106" s="343">
        <v>0</v>
      </c>
      <c r="AD106" s="343"/>
      <c r="AE106" s="343"/>
      <c r="AF106" s="349">
        <f>SUM(AC106:AE106)</f>
        <v>0</v>
      </c>
      <c r="AG106" s="120"/>
      <c r="AH106" s="343"/>
      <c r="AI106" s="343"/>
      <c r="AJ106" s="343"/>
      <c r="AK106" s="349">
        <f>SUM(AH106:AJ106)</f>
        <v>0</v>
      </c>
      <c r="AL106" s="373">
        <f>BK106+BX106+CB106</f>
        <v>0</v>
      </c>
    </row>
    <row r="107" spans="1:38" ht="12.75" hidden="1">
      <c r="A107" s="91" t="s">
        <v>380</v>
      </c>
      <c r="B107" s="42" t="s">
        <v>765</v>
      </c>
      <c r="C107" s="32" t="s">
        <v>766</v>
      </c>
      <c r="D107" s="343">
        <f>O107+AC107+AM107</f>
        <v>0</v>
      </c>
      <c r="F107" s="343">
        <v>0</v>
      </c>
      <c r="G107" s="343"/>
      <c r="H107" s="343"/>
      <c r="I107" s="349">
        <f t="shared" si="51"/>
        <v>0</v>
      </c>
      <c r="J107" s="120"/>
      <c r="K107" s="343">
        <v>0</v>
      </c>
      <c r="L107" s="343"/>
      <c r="M107" s="343"/>
      <c r="N107" s="349">
        <f>SUM(K107:M107)</f>
        <v>0</v>
      </c>
      <c r="O107" s="373">
        <f>AA107+AM107+AQ107</f>
        <v>0</v>
      </c>
      <c r="Q107" s="343">
        <v>0</v>
      </c>
      <c r="R107" s="343"/>
      <c r="S107" s="343"/>
      <c r="T107" s="349">
        <f>SUM(Q107:S107)</f>
        <v>0</v>
      </c>
      <c r="U107" s="120"/>
      <c r="V107" s="343">
        <v>0</v>
      </c>
      <c r="W107" s="343"/>
      <c r="X107" s="343"/>
      <c r="Y107" s="349">
        <f>SUM(V107:X107)</f>
        <v>0</v>
      </c>
      <c r="Z107" s="120"/>
      <c r="AA107" s="373">
        <f>BG107+BM107+BQ107</f>
        <v>0</v>
      </c>
      <c r="AC107" s="343">
        <v>0</v>
      </c>
      <c r="AD107" s="343"/>
      <c r="AE107" s="343"/>
      <c r="AF107" s="349">
        <f>SUM(AC107:AE107)</f>
        <v>0</v>
      </c>
      <c r="AG107" s="120"/>
      <c r="AH107" s="343"/>
      <c r="AI107" s="343"/>
      <c r="AJ107" s="343"/>
      <c r="AK107" s="349">
        <f>SUM(AH107:AJ107)</f>
        <v>0</v>
      </c>
      <c r="AL107" s="373">
        <f>BK107+BX107+CB107</f>
        <v>0</v>
      </c>
    </row>
    <row r="108" spans="1:38" ht="12.75" hidden="1">
      <c r="A108" s="91" t="s">
        <v>383</v>
      </c>
      <c r="B108" s="42" t="s">
        <v>767</v>
      </c>
      <c r="C108" s="32" t="s">
        <v>768</v>
      </c>
      <c r="D108" s="343">
        <f>O108+AC108+AM108</f>
        <v>0</v>
      </c>
      <c r="F108" s="343">
        <v>0</v>
      </c>
      <c r="G108" s="343"/>
      <c r="H108" s="343"/>
      <c r="I108" s="349">
        <f t="shared" si="51"/>
        <v>0</v>
      </c>
      <c r="J108" s="120"/>
      <c r="K108" s="343">
        <v>0</v>
      </c>
      <c r="L108" s="343"/>
      <c r="M108" s="343"/>
      <c r="N108" s="349">
        <f>SUM(K108:M108)</f>
        <v>0</v>
      </c>
      <c r="O108" s="373">
        <f>AA108+AM108+AQ108</f>
        <v>0</v>
      </c>
      <c r="Q108" s="343">
        <v>0</v>
      </c>
      <c r="R108" s="343"/>
      <c r="S108" s="343"/>
      <c r="T108" s="349">
        <f>SUM(Q108:S108)</f>
        <v>0</v>
      </c>
      <c r="U108" s="120"/>
      <c r="V108" s="343">
        <v>0</v>
      </c>
      <c r="W108" s="343"/>
      <c r="X108" s="343"/>
      <c r="Y108" s="349">
        <f>SUM(V108:X108)</f>
        <v>0</v>
      </c>
      <c r="Z108" s="120"/>
      <c r="AA108" s="373">
        <f>BG108+BM108+BQ108</f>
        <v>0</v>
      </c>
      <c r="AC108" s="343">
        <v>0</v>
      </c>
      <c r="AD108" s="343"/>
      <c r="AE108" s="343"/>
      <c r="AF108" s="349">
        <f>SUM(AC108:AE108)</f>
        <v>0</v>
      </c>
      <c r="AG108" s="120"/>
      <c r="AH108" s="343"/>
      <c r="AI108" s="343"/>
      <c r="AJ108" s="343"/>
      <c r="AK108" s="349">
        <f>SUM(AH108:AJ108)</f>
        <v>0</v>
      </c>
      <c r="AL108" s="373">
        <f>BK108+BX108+CB108</f>
        <v>0</v>
      </c>
    </row>
    <row r="109" spans="1:38" ht="12.75">
      <c r="A109" s="94" t="s">
        <v>386</v>
      </c>
      <c r="B109" s="95" t="s">
        <v>769</v>
      </c>
      <c r="C109" s="96" t="s">
        <v>770</v>
      </c>
      <c r="D109" s="56">
        <f>SUM(D106:D108)</f>
        <v>0</v>
      </c>
      <c r="F109" s="56">
        <f>SUM(F106:F108)</f>
        <v>0</v>
      </c>
      <c r="G109" s="56">
        <f>SUM(G106:G108)</f>
        <v>0</v>
      </c>
      <c r="H109" s="56">
        <f>SUM(H106:H108)</f>
        <v>0</v>
      </c>
      <c r="I109" s="56">
        <f>SUM(I106:I108)</f>
        <v>0</v>
      </c>
      <c r="J109" s="362"/>
      <c r="K109" s="56">
        <f>SUM(K106:K108)</f>
        <v>0</v>
      </c>
      <c r="L109" s="56">
        <f>SUM(L106:L108)</f>
        <v>0</v>
      </c>
      <c r="M109" s="56">
        <f>SUM(M106:M108)</f>
        <v>0</v>
      </c>
      <c r="N109" s="56">
        <f>SUM(N106:N108)</f>
        <v>0</v>
      </c>
      <c r="O109" s="56">
        <f>SUM(O106:O108)</f>
        <v>0</v>
      </c>
      <c r="Q109" s="56">
        <f>SUM(Q106:Q108)</f>
        <v>0</v>
      </c>
      <c r="R109" s="56">
        <f>SUM(R106:R108)</f>
        <v>0</v>
      </c>
      <c r="S109" s="56">
        <f>SUM(S106:S108)</f>
        <v>0</v>
      </c>
      <c r="T109" s="56">
        <f>SUM(T106:T108)</f>
        <v>0</v>
      </c>
      <c r="U109" s="362"/>
      <c r="V109" s="56">
        <f>SUM(V106:V108)</f>
        <v>0</v>
      </c>
      <c r="W109" s="56">
        <f>SUM(W106:W108)</f>
        <v>0</v>
      </c>
      <c r="X109" s="56">
        <f>SUM(X106:X108)</f>
        <v>0</v>
      </c>
      <c r="Y109" s="56">
        <f>SUM(Y106:Y108)</f>
        <v>0</v>
      </c>
      <c r="Z109" s="362"/>
      <c r="AA109" s="56">
        <f>SUM(AA106:AA108)</f>
        <v>0</v>
      </c>
      <c r="AC109" s="56">
        <f>SUM(AC106:AC108)</f>
        <v>0</v>
      </c>
      <c r="AD109" s="56">
        <f>SUM(AD106:AD108)</f>
        <v>0</v>
      </c>
      <c r="AE109" s="56">
        <f>SUM(AE106:AE108)</f>
        <v>0</v>
      </c>
      <c r="AF109" s="56">
        <f>SUM(AF106:AF108)</f>
        <v>0</v>
      </c>
      <c r="AG109" s="362"/>
      <c r="AH109" s="56">
        <f>SUM(AH106:AH108)</f>
        <v>0</v>
      </c>
      <c r="AI109" s="56">
        <f>SUM(AI106:AI108)</f>
        <v>0</v>
      </c>
      <c r="AJ109" s="56">
        <f>SUM(AJ106:AJ108)</f>
        <v>0</v>
      </c>
      <c r="AK109" s="56">
        <f>SUM(AK106:AK108)</f>
        <v>0</v>
      </c>
      <c r="AL109" s="56">
        <f>SUM(AL106:AL108)</f>
        <v>0</v>
      </c>
    </row>
    <row r="110" spans="1:38" ht="12.75" hidden="1">
      <c r="A110" s="91" t="s">
        <v>389</v>
      </c>
      <c r="B110" s="92" t="s">
        <v>771</v>
      </c>
      <c r="C110" s="32" t="s">
        <v>772</v>
      </c>
      <c r="D110" s="343">
        <f aca="true" t="shared" si="52" ref="D110:D115">O110+AC110+AM110</f>
        <v>0</v>
      </c>
      <c r="F110" s="343">
        <v>0</v>
      </c>
      <c r="G110" s="343"/>
      <c r="H110" s="343"/>
      <c r="I110" s="349">
        <f t="shared" si="51"/>
        <v>0</v>
      </c>
      <c r="J110" s="120"/>
      <c r="K110" s="343">
        <v>0</v>
      </c>
      <c r="L110" s="343"/>
      <c r="M110" s="343"/>
      <c r="N110" s="349">
        <f aca="true" t="shared" si="53" ref="N110:N115">SUM(K110:M110)</f>
        <v>0</v>
      </c>
      <c r="O110" s="373">
        <f aca="true" t="shared" si="54" ref="O110:O115">AA110+AM110+AQ110</f>
        <v>0</v>
      </c>
      <c r="Q110" s="343">
        <v>0</v>
      </c>
      <c r="R110" s="343"/>
      <c r="S110" s="343"/>
      <c r="T110" s="349">
        <f aca="true" t="shared" si="55" ref="T110:T115">SUM(Q110:S110)</f>
        <v>0</v>
      </c>
      <c r="U110" s="120"/>
      <c r="V110" s="343">
        <v>0</v>
      </c>
      <c r="W110" s="343"/>
      <c r="X110" s="343"/>
      <c r="Y110" s="349">
        <f aca="true" t="shared" si="56" ref="Y110:Y115">SUM(V110:X110)</f>
        <v>0</v>
      </c>
      <c r="Z110" s="120"/>
      <c r="AA110" s="373">
        <f aca="true" t="shared" si="57" ref="AA110:AA115">BG110+BM110+BQ110</f>
        <v>0</v>
      </c>
      <c r="AC110" s="343">
        <v>0</v>
      </c>
      <c r="AD110" s="343"/>
      <c r="AE110" s="343"/>
      <c r="AF110" s="349">
        <f aca="true" t="shared" si="58" ref="AF110:AF115">SUM(AC110:AE110)</f>
        <v>0</v>
      </c>
      <c r="AG110" s="120"/>
      <c r="AH110" s="343"/>
      <c r="AI110" s="343"/>
      <c r="AJ110" s="343"/>
      <c r="AK110" s="349">
        <f aca="true" t="shared" si="59" ref="AK110:AK115">SUM(AH110:AJ110)</f>
        <v>0</v>
      </c>
      <c r="AL110" s="373">
        <f aca="true" t="shared" si="60" ref="AL110:AL115">BK110+BX110+CB110</f>
        <v>0</v>
      </c>
    </row>
    <row r="111" spans="1:38" ht="12.75" hidden="1">
      <c r="A111" s="91" t="s">
        <v>392</v>
      </c>
      <c r="B111" s="42" t="s">
        <v>773</v>
      </c>
      <c r="C111" s="32" t="s">
        <v>774</v>
      </c>
      <c r="D111" s="343">
        <f t="shared" si="52"/>
        <v>0</v>
      </c>
      <c r="F111" s="343">
        <v>0</v>
      </c>
      <c r="G111" s="343"/>
      <c r="H111" s="343"/>
      <c r="I111" s="349">
        <f t="shared" si="51"/>
        <v>0</v>
      </c>
      <c r="J111" s="120"/>
      <c r="K111" s="343">
        <v>0</v>
      </c>
      <c r="L111" s="343"/>
      <c r="M111" s="343"/>
      <c r="N111" s="349">
        <f t="shared" si="53"/>
        <v>0</v>
      </c>
      <c r="O111" s="373">
        <f t="shared" si="54"/>
        <v>0</v>
      </c>
      <c r="Q111" s="343">
        <v>0</v>
      </c>
      <c r="R111" s="343"/>
      <c r="S111" s="343"/>
      <c r="T111" s="349">
        <f t="shared" si="55"/>
        <v>0</v>
      </c>
      <c r="U111" s="120"/>
      <c r="V111" s="343">
        <v>0</v>
      </c>
      <c r="W111" s="343"/>
      <c r="X111" s="343"/>
      <c r="Y111" s="349">
        <f t="shared" si="56"/>
        <v>0</v>
      </c>
      <c r="Z111" s="120"/>
      <c r="AA111" s="373">
        <f t="shared" si="57"/>
        <v>0</v>
      </c>
      <c r="AC111" s="343">
        <v>0</v>
      </c>
      <c r="AD111" s="343"/>
      <c r="AE111" s="343"/>
      <c r="AF111" s="349">
        <f t="shared" si="58"/>
        <v>0</v>
      </c>
      <c r="AG111" s="120"/>
      <c r="AH111" s="343"/>
      <c r="AI111" s="343"/>
      <c r="AJ111" s="343"/>
      <c r="AK111" s="349">
        <f t="shared" si="59"/>
        <v>0</v>
      </c>
      <c r="AL111" s="373">
        <f t="shared" si="60"/>
        <v>0</v>
      </c>
    </row>
    <row r="112" spans="1:38" ht="12.75" hidden="1">
      <c r="A112" s="91" t="s">
        <v>395</v>
      </c>
      <c r="B112" s="42" t="s">
        <v>775</v>
      </c>
      <c r="C112" s="32" t="s">
        <v>776</v>
      </c>
      <c r="D112" s="343">
        <f t="shared" si="52"/>
        <v>0</v>
      </c>
      <c r="F112" s="343">
        <v>0</v>
      </c>
      <c r="G112" s="343"/>
      <c r="H112" s="343"/>
      <c r="I112" s="349">
        <f t="shared" si="51"/>
        <v>0</v>
      </c>
      <c r="J112" s="120"/>
      <c r="K112" s="343">
        <v>0</v>
      </c>
      <c r="L112" s="343"/>
      <c r="M112" s="343"/>
      <c r="N112" s="349">
        <f t="shared" si="53"/>
        <v>0</v>
      </c>
      <c r="O112" s="373">
        <f t="shared" si="54"/>
        <v>0</v>
      </c>
      <c r="Q112" s="343">
        <v>0</v>
      </c>
      <c r="R112" s="343"/>
      <c r="S112" s="343"/>
      <c r="T112" s="349">
        <f t="shared" si="55"/>
        <v>0</v>
      </c>
      <c r="U112" s="120"/>
      <c r="V112" s="343">
        <v>0</v>
      </c>
      <c r="W112" s="343"/>
      <c r="X112" s="343"/>
      <c r="Y112" s="349">
        <f t="shared" si="56"/>
        <v>0</v>
      </c>
      <c r="Z112" s="120"/>
      <c r="AA112" s="373">
        <f t="shared" si="57"/>
        <v>0</v>
      </c>
      <c r="AC112" s="343">
        <v>0</v>
      </c>
      <c r="AD112" s="343"/>
      <c r="AE112" s="343"/>
      <c r="AF112" s="349">
        <f t="shared" si="58"/>
        <v>0</v>
      </c>
      <c r="AG112" s="120"/>
      <c r="AH112" s="343"/>
      <c r="AI112" s="343"/>
      <c r="AJ112" s="343"/>
      <c r="AK112" s="349">
        <f t="shared" si="59"/>
        <v>0</v>
      </c>
      <c r="AL112" s="373">
        <f t="shared" si="60"/>
        <v>0</v>
      </c>
    </row>
    <row r="113" spans="1:38" ht="12.75" hidden="1">
      <c r="A113" s="91" t="s">
        <v>398</v>
      </c>
      <c r="B113" s="42" t="s">
        <v>777</v>
      </c>
      <c r="C113" s="32" t="s">
        <v>778</v>
      </c>
      <c r="D113" s="343">
        <f t="shared" si="52"/>
        <v>0</v>
      </c>
      <c r="F113" s="343">
        <v>0</v>
      </c>
      <c r="G113" s="343"/>
      <c r="H113" s="343"/>
      <c r="I113" s="349">
        <f t="shared" si="51"/>
        <v>0</v>
      </c>
      <c r="J113" s="120"/>
      <c r="K113" s="343">
        <v>0</v>
      </c>
      <c r="L113" s="343"/>
      <c r="M113" s="343"/>
      <c r="N113" s="349">
        <f t="shared" si="53"/>
        <v>0</v>
      </c>
      <c r="O113" s="373">
        <f t="shared" si="54"/>
        <v>0</v>
      </c>
      <c r="Q113" s="343">
        <v>0</v>
      </c>
      <c r="R113" s="343"/>
      <c r="S113" s="343"/>
      <c r="T113" s="349">
        <f t="shared" si="55"/>
        <v>0</v>
      </c>
      <c r="U113" s="120"/>
      <c r="V113" s="343">
        <v>0</v>
      </c>
      <c r="W113" s="343"/>
      <c r="X113" s="343"/>
      <c r="Y113" s="349">
        <f t="shared" si="56"/>
        <v>0</v>
      </c>
      <c r="Z113" s="120"/>
      <c r="AA113" s="373">
        <f t="shared" si="57"/>
        <v>0</v>
      </c>
      <c r="AC113" s="343">
        <v>0</v>
      </c>
      <c r="AD113" s="343"/>
      <c r="AE113" s="343"/>
      <c r="AF113" s="349">
        <f t="shared" si="58"/>
        <v>0</v>
      </c>
      <c r="AG113" s="120"/>
      <c r="AH113" s="343"/>
      <c r="AI113" s="343"/>
      <c r="AJ113" s="343"/>
      <c r="AK113" s="349">
        <f t="shared" si="59"/>
        <v>0</v>
      </c>
      <c r="AL113" s="373">
        <f t="shared" si="60"/>
        <v>0</v>
      </c>
    </row>
    <row r="114" spans="1:38" ht="12.75" hidden="1">
      <c r="A114" s="91" t="s">
        <v>401</v>
      </c>
      <c r="B114" s="42" t="s">
        <v>779</v>
      </c>
      <c r="C114" s="32" t="s">
        <v>780</v>
      </c>
      <c r="D114" s="343">
        <f t="shared" si="52"/>
        <v>0</v>
      </c>
      <c r="F114" s="343">
        <v>0</v>
      </c>
      <c r="G114" s="343"/>
      <c r="H114" s="343"/>
      <c r="I114" s="349">
        <f t="shared" si="51"/>
        <v>0</v>
      </c>
      <c r="J114" s="120"/>
      <c r="K114" s="343">
        <v>0</v>
      </c>
      <c r="L114" s="343"/>
      <c r="M114" s="343"/>
      <c r="N114" s="349">
        <f t="shared" si="53"/>
        <v>0</v>
      </c>
      <c r="O114" s="373">
        <f t="shared" si="54"/>
        <v>0</v>
      </c>
      <c r="Q114" s="343">
        <v>0</v>
      </c>
      <c r="R114" s="343"/>
      <c r="S114" s="343"/>
      <c r="T114" s="349">
        <f t="shared" si="55"/>
        <v>0</v>
      </c>
      <c r="U114" s="120"/>
      <c r="V114" s="343">
        <v>0</v>
      </c>
      <c r="W114" s="343"/>
      <c r="X114" s="343"/>
      <c r="Y114" s="349">
        <f t="shared" si="56"/>
        <v>0</v>
      </c>
      <c r="Z114" s="120"/>
      <c r="AA114" s="373">
        <f t="shared" si="57"/>
        <v>0</v>
      </c>
      <c r="AC114" s="343">
        <v>0</v>
      </c>
      <c r="AD114" s="343"/>
      <c r="AE114" s="343"/>
      <c r="AF114" s="349">
        <f t="shared" si="58"/>
        <v>0</v>
      </c>
      <c r="AG114" s="120"/>
      <c r="AH114" s="343"/>
      <c r="AI114" s="343"/>
      <c r="AJ114" s="343"/>
      <c r="AK114" s="349">
        <f t="shared" si="59"/>
        <v>0</v>
      </c>
      <c r="AL114" s="373">
        <f t="shared" si="60"/>
        <v>0</v>
      </c>
    </row>
    <row r="115" spans="1:38" ht="12.75" hidden="1">
      <c r="A115" s="91">
        <v>10</v>
      </c>
      <c r="B115" s="42" t="s">
        <v>781</v>
      </c>
      <c r="C115" s="32" t="s">
        <v>782</v>
      </c>
      <c r="D115" s="343">
        <f t="shared" si="52"/>
        <v>0</v>
      </c>
      <c r="F115" s="343">
        <v>0</v>
      </c>
      <c r="G115" s="343"/>
      <c r="H115" s="343"/>
      <c r="I115" s="349">
        <f t="shared" si="51"/>
        <v>0</v>
      </c>
      <c r="J115" s="120"/>
      <c r="K115" s="343">
        <v>0</v>
      </c>
      <c r="L115" s="343"/>
      <c r="M115" s="343"/>
      <c r="N115" s="349">
        <f t="shared" si="53"/>
        <v>0</v>
      </c>
      <c r="O115" s="373">
        <f t="shared" si="54"/>
        <v>0</v>
      </c>
      <c r="Q115" s="343">
        <v>0</v>
      </c>
      <c r="R115" s="343"/>
      <c r="S115" s="343"/>
      <c r="T115" s="349">
        <f t="shared" si="55"/>
        <v>0</v>
      </c>
      <c r="U115" s="120"/>
      <c r="V115" s="343">
        <v>0</v>
      </c>
      <c r="W115" s="343"/>
      <c r="X115" s="343"/>
      <c r="Y115" s="349">
        <f t="shared" si="56"/>
        <v>0</v>
      </c>
      <c r="Z115" s="120"/>
      <c r="AA115" s="373">
        <f t="shared" si="57"/>
        <v>0</v>
      </c>
      <c r="AC115" s="343">
        <v>0</v>
      </c>
      <c r="AD115" s="343"/>
      <c r="AE115" s="343"/>
      <c r="AF115" s="349">
        <f t="shared" si="58"/>
        <v>0</v>
      </c>
      <c r="AG115" s="120"/>
      <c r="AH115" s="343"/>
      <c r="AI115" s="343"/>
      <c r="AJ115" s="343"/>
      <c r="AK115" s="349">
        <f t="shared" si="59"/>
        <v>0</v>
      </c>
      <c r="AL115" s="373">
        <f t="shared" si="60"/>
        <v>0</v>
      </c>
    </row>
    <row r="116" spans="1:38" ht="12.75">
      <c r="A116" s="94">
        <v>11</v>
      </c>
      <c r="B116" s="97" t="s">
        <v>783</v>
      </c>
      <c r="C116" s="96" t="s">
        <v>784</v>
      </c>
      <c r="D116" s="56">
        <f>SUM(D110:D115)</f>
        <v>0</v>
      </c>
      <c r="F116" s="56">
        <f>SUM(F110:F115)</f>
        <v>0</v>
      </c>
      <c r="G116" s="56">
        <f>SUM(G110:G115)</f>
        <v>0</v>
      </c>
      <c r="H116" s="56">
        <f>SUM(H110:H115)</f>
        <v>0</v>
      </c>
      <c r="I116" s="56">
        <f>SUM(I110:I115)</f>
        <v>0</v>
      </c>
      <c r="J116" s="362"/>
      <c r="K116" s="56">
        <f>SUM(K110:K115)</f>
        <v>0</v>
      </c>
      <c r="L116" s="56">
        <f>SUM(L110:L115)</f>
        <v>0</v>
      </c>
      <c r="M116" s="56">
        <f>SUM(M110:M115)</f>
        <v>0</v>
      </c>
      <c r="N116" s="56">
        <f>SUM(N110:N115)</f>
        <v>0</v>
      </c>
      <c r="O116" s="56">
        <f>SUM(O110:O115)</f>
        <v>0</v>
      </c>
      <c r="Q116" s="56">
        <f>SUM(Q110:Q115)</f>
        <v>0</v>
      </c>
      <c r="R116" s="56">
        <f>SUM(R110:R115)</f>
        <v>0</v>
      </c>
      <c r="S116" s="56">
        <f>SUM(S110:S115)</f>
        <v>0</v>
      </c>
      <c r="T116" s="56">
        <f>SUM(T110:T115)</f>
        <v>0</v>
      </c>
      <c r="U116" s="362"/>
      <c r="V116" s="56">
        <f>SUM(V110:V115)</f>
        <v>0</v>
      </c>
      <c r="W116" s="56">
        <f>SUM(W110:W115)</f>
        <v>0</v>
      </c>
      <c r="X116" s="56">
        <f>SUM(X110:X115)</f>
        <v>0</v>
      </c>
      <c r="Y116" s="56">
        <f>SUM(Y110:Y115)</f>
        <v>0</v>
      </c>
      <c r="Z116" s="362"/>
      <c r="AA116" s="56">
        <f>SUM(AA110:AA115)</f>
        <v>0</v>
      </c>
      <c r="AC116" s="56">
        <f>SUM(AC110:AC115)</f>
        <v>0</v>
      </c>
      <c r="AD116" s="56">
        <f>SUM(AD110:AD115)</f>
        <v>0</v>
      </c>
      <c r="AE116" s="56">
        <f>SUM(AE110:AE115)</f>
        <v>0</v>
      </c>
      <c r="AF116" s="56">
        <f>SUM(AF110:AF115)</f>
        <v>0</v>
      </c>
      <c r="AG116" s="362"/>
      <c r="AH116" s="56">
        <f>SUM(AH110:AH115)</f>
        <v>0</v>
      </c>
      <c r="AI116" s="56">
        <f>SUM(AI110:AI115)</f>
        <v>0</v>
      </c>
      <c r="AJ116" s="56">
        <f>SUM(AJ110:AJ115)</f>
        <v>0</v>
      </c>
      <c r="AK116" s="56">
        <f>SUM(AK110:AK115)</f>
        <v>0</v>
      </c>
      <c r="AL116" s="56">
        <f>SUM(AL110:AL115)</f>
        <v>0</v>
      </c>
    </row>
    <row r="117" spans="1:38" ht="12.75" hidden="1">
      <c r="A117" s="376">
        <v>12</v>
      </c>
      <c r="B117" s="382" t="s">
        <v>785</v>
      </c>
      <c r="C117" s="378" t="s">
        <v>786</v>
      </c>
      <c r="D117" s="379">
        <f aca="true" t="shared" si="61" ref="D117:D124">O117+AC117+AM117</f>
        <v>0</v>
      </c>
      <c r="F117" s="379">
        <f aca="true" t="shared" si="62" ref="F117:F124">Q117+AL117+AO117</f>
        <v>0</v>
      </c>
      <c r="G117" s="379"/>
      <c r="H117" s="379"/>
      <c r="I117" s="380">
        <f t="shared" si="51"/>
        <v>0</v>
      </c>
      <c r="J117" s="381"/>
      <c r="K117" s="379">
        <f aca="true" t="shared" si="63" ref="K117:K124">V117+AP117+AT117</f>
        <v>0</v>
      </c>
      <c r="L117" s="379"/>
      <c r="M117" s="379"/>
      <c r="N117" s="380">
        <f aca="true" t="shared" si="64" ref="N117:N124">SUM(K117:M117)</f>
        <v>0</v>
      </c>
      <c r="O117" s="384">
        <f aca="true" t="shared" si="65" ref="O117:O124">AA117+AM117+AQ117</f>
        <v>0</v>
      </c>
      <c r="Q117" s="343">
        <v>0</v>
      </c>
      <c r="R117" s="379"/>
      <c r="S117" s="379"/>
      <c r="T117" s="380">
        <f aca="true" t="shared" si="66" ref="T117:T124">SUM(Q117:S117)</f>
        <v>0</v>
      </c>
      <c r="U117" s="381"/>
      <c r="V117" s="343">
        <v>0</v>
      </c>
      <c r="W117" s="379"/>
      <c r="X117" s="379"/>
      <c r="Y117" s="380">
        <f aca="true" t="shared" si="67" ref="Y117:Y124">SUM(V117:X117)</f>
        <v>0</v>
      </c>
      <c r="Z117" s="381"/>
      <c r="AA117" s="384">
        <f aca="true" t="shared" si="68" ref="AA117:AA124">BG117+BM117+BQ117</f>
        <v>0</v>
      </c>
      <c r="AC117" s="379">
        <f aca="true" t="shared" si="69" ref="AC117:AC124">AT117+BV117+BZ117</f>
        <v>0</v>
      </c>
      <c r="AD117" s="379"/>
      <c r="AE117" s="379"/>
      <c r="AF117" s="380">
        <f aca="true" t="shared" si="70" ref="AF117:AF124">SUM(AC117:AE117)</f>
        <v>0</v>
      </c>
      <c r="AG117" s="381"/>
      <c r="AH117" s="379"/>
      <c r="AI117" s="379"/>
      <c r="AJ117" s="379"/>
      <c r="AK117" s="380">
        <f aca="true" t="shared" si="71" ref="AK117:AK124">SUM(AH117:AJ117)</f>
        <v>0</v>
      </c>
      <c r="AL117" s="384">
        <f aca="true" t="shared" si="72" ref="AL117:AL124">BK117+BX117+CB117</f>
        <v>0</v>
      </c>
    </row>
    <row r="118" spans="1:38" ht="12.75" hidden="1">
      <c r="A118" s="376">
        <v>13</v>
      </c>
      <c r="B118" s="382" t="s">
        <v>787</v>
      </c>
      <c r="C118" s="378" t="s">
        <v>788</v>
      </c>
      <c r="D118" s="379">
        <f t="shared" si="61"/>
        <v>0</v>
      </c>
      <c r="F118" s="379">
        <f t="shared" si="62"/>
        <v>0</v>
      </c>
      <c r="G118" s="379"/>
      <c r="H118" s="379"/>
      <c r="I118" s="380">
        <f t="shared" si="51"/>
        <v>0</v>
      </c>
      <c r="J118" s="381"/>
      <c r="K118" s="379">
        <f t="shared" si="63"/>
        <v>0</v>
      </c>
      <c r="L118" s="379"/>
      <c r="M118" s="379"/>
      <c r="N118" s="380">
        <f t="shared" si="64"/>
        <v>0</v>
      </c>
      <c r="O118" s="384">
        <f t="shared" si="65"/>
        <v>0</v>
      </c>
      <c r="Q118" s="343">
        <v>0</v>
      </c>
      <c r="R118" s="379"/>
      <c r="S118" s="379"/>
      <c r="T118" s="380">
        <f t="shared" si="66"/>
        <v>0</v>
      </c>
      <c r="U118" s="381"/>
      <c r="V118" s="343">
        <v>0</v>
      </c>
      <c r="W118" s="379"/>
      <c r="X118" s="379"/>
      <c r="Y118" s="380">
        <f t="shared" si="67"/>
        <v>0</v>
      </c>
      <c r="Z118" s="381"/>
      <c r="AA118" s="384">
        <f>BG118+BM118+BQ118</f>
        <v>0</v>
      </c>
      <c r="AC118" s="379">
        <f t="shared" si="69"/>
        <v>0</v>
      </c>
      <c r="AD118" s="379"/>
      <c r="AE118" s="379"/>
      <c r="AF118" s="380">
        <f t="shared" si="70"/>
        <v>0</v>
      </c>
      <c r="AG118" s="381"/>
      <c r="AH118" s="379"/>
      <c r="AI118" s="379"/>
      <c r="AJ118" s="379"/>
      <c r="AK118" s="380">
        <f t="shared" si="71"/>
        <v>0</v>
      </c>
      <c r="AL118" s="384">
        <f t="shared" si="72"/>
        <v>0</v>
      </c>
    </row>
    <row r="119" spans="1:38" ht="12.75" hidden="1">
      <c r="A119" s="376">
        <v>14</v>
      </c>
      <c r="B119" s="382" t="s">
        <v>789</v>
      </c>
      <c r="C119" s="378" t="s">
        <v>790</v>
      </c>
      <c r="D119" s="383">
        <f t="shared" si="61"/>
        <v>0</v>
      </c>
      <c r="F119" s="383">
        <f t="shared" si="62"/>
        <v>0</v>
      </c>
      <c r="G119" s="383"/>
      <c r="H119" s="383"/>
      <c r="I119" s="380">
        <f t="shared" si="51"/>
        <v>0</v>
      </c>
      <c r="J119" s="381"/>
      <c r="K119" s="383">
        <f t="shared" si="63"/>
        <v>0</v>
      </c>
      <c r="L119" s="383"/>
      <c r="M119" s="383"/>
      <c r="N119" s="380">
        <f t="shared" si="64"/>
        <v>0</v>
      </c>
      <c r="O119" s="383">
        <f t="shared" si="65"/>
        <v>0</v>
      </c>
      <c r="Q119" s="343">
        <v>0</v>
      </c>
      <c r="R119" s="383"/>
      <c r="S119" s="383"/>
      <c r="T119" s="380">
        <f t="shared" si="66"/>
        <v>0</v>
      </c>
      <c r="U119" s="381"/>
      <c r="V119" s="343">
        <v>0</v>
      </c>
      <c r="W119" s="383"/>
      <c r="X119" s="383"/>
      <c r="Y119" s="380">
        <f t="shared" si="67"/>
        <v>0</v>
      </c>
      <c r="Z119" s="381"/>
      <c r="AA119" s="383">
        <f t="shared" si="68"/>
        <v>0</v>
      </c>
      <c r="AC119" s="383">
        <f t="shared" si="69"/>
        <v>0</v>
      </c>
      <c r="AD119" s="383"/>
      <c r="AE119" s="383"/>
      <c r="AF119" s="380">
        <f t="shared" si="70"/>
        <v>0</v>
      </c>
      <c r="AG119" s="381"/>
      <c r="AH119" s="383"/>
      <c r="AI119" s="383"/>
      <c r="AJ119" s="383"/>
      <c r="AK119" s="380">
        <f t="shared" si="71"/>
        <v>0</v>
      </c>
      <c r="AL119" s="383">
        <f t="shared" si="72"/>
        <v>0</v>
      </c>
    </row>
    <row r="120" spans="1:38" ht="12.75" hidden="1">
      <c r="A120" s="376">
        <v>15</v>
      </c>
      <c r="B120" s="382" t="s">
        <v>791</v>
      </c>
      <c r="C120" s="378" t="s">
        <v>792</v>
      </c>
      <c r="D120" s="383">
        <f t="shared" si="61"/>
        <v>0</v>
      </c>
      <c r="F120" s="383">
        <f t="shared" si="62"/>
        <v>0</v>
      </c>
      <c r="G120" s="383"/>
      <c r="H120" s="383"/>
      <c r="I120" s="380">
        <f t="shared" si="51"/>
        <v>0</v>
      </c>
      <c r="J120" s="381"/>
      <c r="K120" s="383">
        <f t="shared" si="63"/>
        <v>0</v>
      </c>
      <c r="L120" s="383"/>
      <c r="M120" s="383"/>
      <c r="N120" s="380">
        <f t="shared" si="64"/>
        <v>0</v>
      </c>
      <c r="O120" s="383">
        <f t="shared" si="65"/>
        <v>0</v>
      </c>
      <c r="Q120" s="343">
        <v>0</v>
      </c>
      <c r="R120" s="383"/>
      <c r="S120" s="383"/>
      <c r="T120" s="380">
        <f t="shared" si="66"/>
        <v>0</v>
      </c>
      <c r="U120" s="381"/>
      <c r="V120" s="343">
        <v>0</v>
      </c>
      <c r="W120" s="383"/>
      <c r="X120" s="383"/>
      <c r="Y120" s="380">
        <f t="shared" si="67"/>
        <v>0</v>
      </c>
      <c r="Z120" s="381"/>
      <c r="AA120" s="383">
        <f t="shared" si="68"/>
        <v>0</v>
      </c>
      <c r="AC120" s="383">
        <f t="shared" si="69"/>
        <v>0</v>
      </c>
      <c r="AD120" s="383"/>
      <c r="AE120" s="383"/>
      <c r="AF120" s="380">
        <f t="shared" si="70"/>
        <v>0</v>
      </c>
      <c r="AG120" s="381"/>
      <c r="AH120" s="383"/>
      <c r="AI120" s="383"/>
      <c r="AJ120" s="383"/>
      <c r="AK120" s="380">
        <f t="shared" si="71"/>
        <v>0</v>
      </c>
      <c r="AL120" s="383">
        <f t="shared" si="72"/>
        <v>0</v>
      </c>
    </row>
    <row r="121" spans="1:38" ht="12.75" hidden="1">
      <c r="A121" s="376">
        <v>16</v>
      </c>
      <c r="B121" s="382" t="s">
        <v>793</v>
      </c>
      <c r="C121" s="378" t="s">
        <v>794</v>
      </c>
      <c r="D121" s="379">
        <f t="shared" si="61"/>
        <v>0</v>
      </c>
      <c r="F121" s="379">
        <f t="shared" si="62"/>
        <v>0</v>
      </c>
      <c r="G121" s="379"/>
      <c r="H121" s="379"/>
      <c r="I121" s="380">
        <f t="shared" si="51"/>
        <v>0</v>
      </c>
      <c r="J121" s="381"/>
      <c r="K121" s="379">
        <f t="shared" si="63"/>
        <v>0</v>
      </c>
      <c r="L121" s="379"/>
      <c r="M121" s="379"/>
      <c r="N121" s="380">
        <f t="shared" si="64"/>
        <v>0</v>
      </c>
      <c r="O121" s="384">
        <f t="shared" si="65"/>
        <v>0</v>
      </c>
      <c r="Q121" s="343">
        <v>0</v>
      </c>
      <c r="R121" s="379"/>
      <c r="S121" s="379"/>
      <c r="T121" s="380">
        <f t="shared" si="66"/>
        <v>0</v>
      </c>
      <c r="U121" s="381"/>
      <c r="V121" s="343">
        <v>0</v>
      </c>
      <c r="W121" s="379"/>
      <c r="X121" s="379"/>
      <c r="Y121" s="380">
        <f t="shared" si="67"/>
        <v>0</v>
      </c>
      <c r="Z121" s="381"/>
      <c r="AA121" s="384">
        <f t="shared" si="68"/>
        <v>0</v>
      </c>
      <c r="AC121" s="379">
        <f t="shared" si="69"/>
        <v>0</v>
      </c>
      <c r="AD121" s="379"/>
      <c r="AE121" s="379"/>
      <c r="AF121" s="380">
        <f t="shared" si="70"/>
        <v>0</v>
      </c>
      <c r="AG121" s="381"/>
      <c r="AH121" s="379"/>
      <c r="AI121" s="379"/>
      <c r="AJ121" s="379"/>
      <c r="AK121" s="380">
        <f t="shared" si="71"/>
        <v>0</v>
      </c>
      <c r="AL121" s="384">
        <f t="shared" si="72"/>
        <v>0</v>
      </c>
    </row>
    <row r="122" spans="1:38" ht="12.75" hidden="1">
      <c r="A122" s="376">
        <v>17</v>
      </c>
      <c r="B122" s="382" t="s">
        <v>795</v>
      </c>
      <c r="C122" s="378" t="s">
        <v>796</v>
      </c>
      <c r="D122" s="379">
        <f t="shared" si="61"/>
        <v>0</v>
      </c>
      <c r="F122" s="379">
        <f t="shared" si="62"/>
        <v>0</v>
      </c>
      <c r="G122" s="379"/>
      <c r="H122" s="379"/>
      <c r="I122" s="380">
        <f t="shared" si="51"/>
        <v>0</v>
      </c>
      <c r="J122" s="381"/>
      <c r="K122" s="379">
        <f t="shared" si="63"/>
        <v>0</v>
      </c>
      <c r="L122" s="379"/>
      <c r="M122" s="379"/>
      <c r="N122" s="380">
        <f t="shared" si="64"/>
        <v>0</v>
      </c>
      <c r="O122" s="384">
        <f t="shared" si="65"/>
        <v>0</v>
      </c>
      <c r="Q122" s="343">
        <v>0</v>
      </c>
      <c r="R122" s="379"/>
      <c r="S122" s="379"/>
      <c r="T122" s="380">
        <f t="shared" si="66"/>
        <v>0</v>
      </c>
      <c r="U122" s="381"/>
      <c r="V122" s="343">
        <v>0</v>
      </c>
      <c r="W122" s="379"/>
      <c r="X122" s="379"/>
      <c r="Y122" s="380">
        <f t="shared" si="67"/>
        <v>0</v>
      </c>
      <c r="Z122" s="381"/>
      <c r="AA122" s="384">
        <f t="shared" si="68"/>
        <v>0</v>
      </c>
      <c r="AC122" s="379">
        <f t="shared" si="69"/>
        <v>0</v>
      </c>
      <c r="AD122" s="379"/>
      <c r="AE122" s="379"/>
      <c r="AF122" s="380">
        <f t="shared" si="70"/>
        <v>0</v>
      </c>
      <c r="AG122" s="381"/>
      <c r="AH122" s="379"/>
      <c r="AI122" s="379"/>
      <c r="AJ122" s="379"/>
      <c r="AK122" s="380">
        <f t="shared" si="71"/>
        <v>0</v>
      </c>
      <c r="AL122" s="384">
        <f t="shared" si="72"/>
        <v>0</v>
      </c>
    </row>
    <row r="123" spans="1:38" ht="12.75" hidden="1">
      <c r="A123" s="91">
        <v>18</v>
      </c>
      <c r="B123" s="92" t="s">
        <v>797</v>
      </c>
      <c r="C123" s="32" t="s">
        <v>798</v>
      </c>
      <c r="D123" s="343">
        <f t="shared" si="61"/>
        <v>0</v>
      </c>
      <c r="F123" s="343">
        <f t="shared" si="62"/>
        <v>0</v>
      </c>
      <c r="G123" s="343"/>
      <c r="H123" s="343"/>
      <c r="I123" s="349">
        <f t="shared" si="51"/>
        <v>0</v>
      </c>
      <c r="J123" s="120"/>
      <c r="K123" s="343">
        <f t="shared" si="63"/>
        <v>0</v>
      </c>
      <c r="L123" s="343"/>
      <c r="M123" s="343"/>
      <c r="N123" s="349">
        <f t="shared" si="64"/>
        <v>0</v>
      </c>
      <c r="O123" s="373">
        <f t="shared" si="65"/>
        <v>0</v>
      </c>
      <c r="Q123" s="343">
        <v>0</v>
      </c>
      <c r="R123" s="343"/>
      <c r="S123" s="343"/>
      <c r="T123" s="349">
        <f t="shared" si="66"/>
        <v>0</v>
      </c>
      <c r="U123" s="120"/>
      <c r="V123" s="343">
        <v>0</v>
      </c>
      <c r="W123" s="343"/>
      <c r="X123" s="343"/>
      <c r="Y123" s="349">
        <f t="shared" si="67"/>
        <v>0</v>
      </c>
      <c r="Z123" s="120"/>
      <c r="AA123" s="373">
        <f t="shared" si="68"/>
        <v>0</v>
      </c>
      <c r="AC123" s="343">
        <f t="shared" si="69"/>
        <v>0</v>
      </c>
      <c r="AD123" s="343"/>
      <c r="AE123" s="343"/>
      <c r="AF123" s="349">
        <f t="shared" si="70"/>
        <v>0</v>
      </c>
      <c r="AG123" s="120"/>
      <c r="AH123" s="343"/>
      <c r="AI123" s="343"/>
      <c r="AJ123" s="343"/>
      <c r="AK123" s="349">
        <f t="shared" si="71"/>
        <v>0</v>
      </c>
      <c r="AL123" s="373">
        <f t="shared" si="72"/>
        <v>0</v>
      </c>
    </row>
    <row r="124" spans="1:38" ht="12.75" hidden="1">
      <c r="A124" s="91">
        <v>19</v>
      </c>
      <c r="B124" s="92" t="s">
        <v>799</v>
      </c>
      <c r="C124" s="32" t="s">
        <v>800</v>
      </c>
      <c r="D124" s="343">
        <f t="shared" si="61"/>
        <v>0</v>
      </c>
      <c r="F124" s="343">
        <f t="shared" si="62"/>
        <v>0</v>
      </c>
      <c r="G124" s="343"/>
      <c r="H124" s="343"/>
      <c r="I124" s="349">
        <f t="shared" si="51"/>
        <v>0</v>
      </c>
      <c r="J124" s="120"/>
      <c r="K124" s="343">
        <f t="shared" si="63"/>
        <v>0</v>
      </c>
      <c r="L124" s="343"/>
      <c r="M124" s="343"/>
      <c r="N124" s="349">
        <f t="shared" si="64"/>
        <v>0</v>
      </c>
      <c r="O124" s="373">
        <f t="shared" si="65"/>
        <v>0</v>
      </c>
      <c r="Q124" s="343">
        <v>0</v>
      </c>
      <c r="R124" s="343"/>
      <c r="S124" s="343"/>
      <c r="T124" s="349">
        <f t="shared" si="66"/>
        <v>0</v>
      </c>
      <c r="U124" s="120"/>
      <c r="V124" s="343">
        <v>0</v>
      </c>
      <c r="W124" s="343"/>
      <c r="X124" s="343"/>
      <c r="Y124" s="349">
        <f t="shared" si="67"/>
        <v>0</v>
      </c>
      <c r="Z124" s="120"/>
      <c r="AA124" s="373">
        <f t="shared" si="68"/>
        <v>0</v>
      </c>
      <c r="AC124" s="343">
        <f t="shared" si="69"/>
        <v>0</v>
      </c>
      <c r="AD124" s="343"/>
      <c r="AE124" s="343"/>
      <c r="AF124" s="349">
        <f t="shared" si="70"/>
        <v>0</v>
      </c>
      <c r="AG124" s="120"/>
      <c r="AH124" s="343"/>
      <c r="AI124" s="343"/>
      <c r="AJ124" s="343"/>
      <c r="AK124" s="349">
        <f t="shared" si="71"/>
        <v>0</v>
      </c>
      <c r="AL124" s="373">
        <f t="shared" si="72"/>
        <v>0</v>
      </c>
    </row>
    <row r="125" spans="1:38" ht="12.75">
      <c r="A125" s="94">
        <v>20</v>
      </c>
      <c r="B125" s="97" t="s">
        <v>801</v>
      </c>
      <c r="C125" s="96" t="s">
        <v>802</v>
      </c>
      <c r="D125" s="56">
        <f>SUM(D123:D124)</f>
        <v>0</v>
      </c>
      <c r="F125" s="56">
        <f>SUM(F123:F124)</f>
        <v>0</v>
      </c>
      <c r="G125" s="56">
        <f>SUM(G123:G124)</f>
        <v>0</v>
      </c>
      <c r="H125" s="56">
        <f>SUM(H123:H124)</f>
        <v>0</v>
      </c>
      <c r="I125" s="56">
        <f>SUM(I123:I124)</f>
        <v>0</v>
      </c>
      <c r="J125" s="362"/>
      <c r="K125" s="56">
        <f>SUM(K123:K124)</f>
        <v>0</v>
      </c>
      <c r="L125" s="56">
        <f>SUM(L123:L124)</f>
        <v>0</v>
      </c>
      <c r="M125" s="56">
        <f>SUM(M123:M124)</f>
        <v>0</v>
      </c>
      <c r="N125" s="56">
        <f>SUM(N123:N124)</f>
        <v>0</v>
      </c>
      <c r="O125" s="56">
        <f>SUM(O123:O124)</f>
        <v>0</v>
      </c>
      <c r="Q125" s="56">
        <f>SUM(Q123:Q124)</f>
        <v>0</v>
      </c>
      <c r="R125" s="56">
        <f>SUM(R123:R124)</f>
        <v>0</v>
      </c>
      <c r="S125" s="56">
        <f>SUM(S123:S124)</f>
        <v>0</v>
      </c>
      <c r="T125" s="56">
        <f>SUM(T123:T124)</f>
        <v>0</v>
      </c>
      <c r="U125" s="362"/>
      <c r="V125" s="56">
        <f>SUM(V123:V124)</f>
        <v>0</v>
      </c>
      <c r="W125" s="56">
        <f>SUM(W123:W124)</f>
        <v>0</v>
      </c>
      <c r="X125" s="56">
        <f>SUM(X123:X124)</f>
        <v>0</v>
      </c>
      <c r="Y125" s="56">
        <f>SUM(Y123:Y124)</f>
        <v>0</v>
      </c>
      <c r="Z125" s="362"/>
      <c r="AA125" s="56">
        <f>SUM(AA123:AA124)</f>
        <v>0</v>
      </c>
      <c r="AC125" s="56">
        <f>SUM(AC123:AC124)</f>
        <v>0</v>
      </c>
      <c r="AD125" s="56">
        <f>SUM(AD123:AD124)</f>
        <v>0</v>
      </c>
      <c r="AE125" s="56">
        <f>SUM(AE123:AE124)</f>
        <v>0</v>
      </c>
      <c r="AF125" s="56">
        <f>SUM(AF123:AF124)</f>
        <v>0</v>
      </c>
      <c r="AG125" s="362"/>
      <c r="AH125" s="56">
        <f>SUM(AH123:AH124)</f>
        <v>0</v>
      </c>
      <c r="AI125" s="56">
        <f>SUM(AI123:AI124)</f>
        <v>0</v>
      </c>
      <c r="AJ125" s="56">
        <f>SUM(AJ123:AJ124)</f>
        <v>0</v>
      </c>
      <c r="AK125" s="56">
        <f>SUM(AK123:AK124)</f>
        <v>0</v>
      </c>
      <c r="AL125" s="56">
        <f>SUM(AL123:AL124)</f>
        <v>0</v>
      </c>
    </row>
    <row r="126" spans="1:38" ht="12.75">
      <c r="A126" s="55">
        <v>21</v>
      </c>
      <c r="B126" s="60" t="s">
        <v>803</v>
      </c>
      <c r="C126" s="39" t="s">
        <v>804</v>
      </c>
      <c r="D126" s="38">
        <f>D109+D116+D117+D118+D119+D120+D121+D122+D125</f>
        <v>0</v>
      </c>
      <c r="F126" s="38">
        <f>F109+F116+F117+F118+F119+F120+F121+F122+F125</f>
        <v>0</v>
      </c>
      <c r="G126" s="38">
        <f>G109+G116+G117+G118+G119+G120+G121+G122+G125</f>
        <v>0</v>
      </c>
      <c r="H126" s="38">
        <f>H109+H116+H117+H118+H119+H120+H121+H122+H125</f>
        <v>0</v>
      </c>
      <c r="I126" s="101">
        <f>I109+I116+I117+I118+I119+I120+I121+I122+I125</f>
        <v>0</v>
      </c>
      <c r="J126" s="366"/>
      <c r="K126" s="38">
        <f>K109+K116+K117+K118+K119+K120+K121+K122+K125</f>
        <v>0</v>
      </c>
      <c r="L126" s="38">
        <f>L109+L116+L117+L118+L119+L120+L121+L122+L125</f>
        <v>0</v>
      </c>
      <c r="M126" s="38">
        <f>M109+M116+M117+M118+M119+M120+M121+M122+M125</f>
        <v>0</v>
      </c>
      <c r="N126" s="38">
        <f>N109+N116+N117+N118+N119+N120+N121+N122+N125</f>
        <v>0</v>
      </c>
      <c r="O126" s="101">
        <f>O109+O116+O117+O118+O119+O120+O121+O122+O125</f>
        <v>0</v>
      </c>
      <c r="Q126" s="38">
        <f>Q109+Q116+Q117+Q118+Q119+Q120+Q121+Q122+Q125</f>
        <v>0</v>
      </c>
      <c r="R126" s="38">
        <f>R109+R116+R117+R118+R119+R120+R121+R122+R125</f>
        <v>0</v>
      </c>
      <c r="S126" s="38">
        <f>S109+S116+S117+S118+S119+S120+S121+S122+S125</f>
        <v>0</v>
      </c>
      <c r="T126" s="101">
        <f>T109+T116+T117+T118+T119+T120+T121+T122+T125</f>
        <v>0</v>
      </c>
      <c r="U126" s="366"/>
      <c r="V126" s="38">
        <f>V109+V116+V117+V118+V119+V120+V121+V122+V125</f>
        <v>0</v>
      </c>
      <c r="W126" s="38">
        <f>W109+W116+W117+W118+W119+W120+W121+W122+W125</f>
        <v>0</v>
      </c>
      <c r="X126" s="38">
        <f>X109+X116+X117+X118+X119+X120+X121+X122+X125</f>
        <v>0</v>
      </c>
      <c r="Y126" s="101">
        <f>Y109+Y116+Y117+Y118+Y119+Y120+Y121+Y122+Y125</f>
        <v>0</v>
      </c>
      <c r="Z126" s="366"/>
      <c r="AA126" s="101">
        <f>AA109+AA116+AA117+AA118+AA119+AA120+AA121+AA122+AA125</f>
        <v>0</v>
      </c>
      <c r="AC126" s="38">
        <f>AC109+AC116+AC117+AC118+AC119+AC120+AC121+AC122+AC125</f>
        <v>0</v>
      </c>
      <c r="AD126" s="38">
        <f>AD109+AD116+AD117+AD118+AD119+AD120+AD121+AD122+AD125</f>
        <v>0</v>
      </c>
      <c r="AE126" s="38">
        <f>AE109+AE116+AE117+AE118+AE119+AE120+AE121+AE122+AE125</f>
        <v>0</v>
      </c>
      <c r="AF126" s="101">
        <f>AF109+AF116+AF117+AF118+AF119+AF120+AF121+AF122+AF125</f>
        <v>0</v>
      </c>
      <c r="AG126" s="366"/>
      <c r="AH126" s="38">
        <f>AH109+AH116+AH117+AH118+AH119+AH120+AH121+AH122+AH125</f>
        <v>0</v>
      </c>
      <c r="AI126" s="38">
        <f>AI109+AI116+AI117+AI118+AI119+AI120+AI121+AI122+AI125</f>
        <v>0</v>
      </c>
      <c r="AJ126" s="38">
        <f>AJ109+AJ116+AJ117+AJ118+AJ119+AJ120+AJ121+AJ122+AJ125</f>
        <v>0</v>
      </c>
      <c r="AK126" s="38">
        <f>AK109+AK116+AK117+AK118+AK119+AK120+AK121+AK122+AK125</f>
        <v>0</v>
      </c>
      <c r="AL126" s="101">
        <f>AL109+AL116+AL117+AL118+AL119+AL120+AL121+AL122+AL125</f>
        <v>0</v>
      </c>
    </row>
    <row r="127" spans="1:38" ht="12.75" hidden="1">
      <c r="A127" s="91">
        <v>22</v>
      </c>
      <c r="B127" s="92" t="s">
        <v>805</v>
      </c>
      <c r="C127" s="32" t="s">
        <v>806</v>
      </c>
      <c r="D127" s="343">
        <f>O127+AC127+AM127</f>
        <v>0</v>
      </c>
      <c r="F127" s="343">
        <f>Q127+AL127+AO127</f>
        <v>0</v>
      </c>
      <c r="G127" s="343"/>
      <c r="H127" s="343"/>
      <c r="I127" s="349">
        <f t="shared" si="51"/>
        <v>0</v>
      </c>
      <c r="J127" s="120"/>
      <c r="K127" s="343">
        <f>V127+AP127+AT127</f>
        <v>0</v>
      </c>
      <c r="L127" s="343"/>
      <c r="M127" s="343"/>
      <c r="N127" s="349">
        <f>SUM(K127:M127)</f>
        <v>0</v>
      </c>
      <c r="O127" s="373">
        <f>AA127+AM127+AQ127</f>
        <v>0</v>
      </c>
      <c r="Q127" s="343">
        <v>0</v>
      </c>
      <c r="R127" s="343"/>
      <c r="S127" s="343"/>
      <c r="T127" s="349">
        <f>SUM(Q127:S127)</f>
        <v>0</v>
      </c>
      <c r="U127" s="120"/>
      <c r="V127" s="343">
        <v>0</v>
      </c>
      <c r="W127" s="343"/>
      <c r="X127" s="343"/>
      <c r="Y127" s="349">
        <f>SUM(V127:X127)</f>
        <v>0</v>
      </c>
      <c r="Z127" s="120"/>
      <c r="AA127" s="373">
        <f>BG127+BM127+BQ127</f>
        <v>0</v>
      </c>
      <c r="AC127" s="343">
        <f>AT127+BV127+BZ127</f>
        <v>0</v>
      </c>
      <c r="AD127" s="343"/>
      <c r="AE127" s="343"/>
      <c r="AF127" s="349">
        <f>SUM(AC127:AE127)</f>
        <v>0</v>
      </c>
      <c r="AG127" s="120"/>
      <c r="AH127" s="343"/>
      <c r="AI127" s="343"/>
      <c r="AJ127" s="343"/>
      <c r="AK127" s="349">
        <f>SUM(AH127:AJ127)</f>
        <v>0</v>
      </c>
      <c r="AL127" s="373">
        <f>BK127+BX127+CB127</f>
        <v>0</v>
      </c>
    </row>
    <row r="128" spans="1:38" ht="12.75" hidden="1">
      <c r="A128" s="91">
        <v>23</v>
      </c>
      <c r="B128" s="42" t="s">
        <v>807</v>
      </c>
      <c r="C128" s="32" t="s">
        <v>808</v>
      </c>
      <c r="D128" s="343">
        <f>O128+AC128+AM128</f>
        <v>0</v>
      </c>
      <c r="F128" s="343">
        <f>Q128+AL128+AO128</f>
        <v>0</v>
      </c>
      <c r="G128" s="343"/>
      <c r="H128" s="343"/>
      <c r="I128" s="349">
        <f t="shared" si="51"/>
        <v>0</v>
      </c>
      <c r="J128" s="120"/>
      <c r="K128" s="343">
        <f>V128+AP128+AT128</f>
        <v>0</v>
      </c>
      <c r="L128" s="343"/>
      <c r="M128" s="343"/>
      <c r="N128" s="349">
        <f>SUM(K128:M128)</f>
        <v>0</v>
      </c>
      <c r="O128" s="373">
        <f>AA128+AM128+AQ128</f>
        <v>0</v>
      </c>
      <c r="Q128" s="343">
        <v>0</v>
      </c>
      <c r="R128" s="343"/>
      <c r="S128" s="343"/>
      <c r="T128" s="349">
        <f>SUM(Q128:S128)</f>
        <v>0</v>
      </c>
      <c r="U128" s="120"/>
      <c r="V128" s="343">
        <v>0</v>
      </c>
      <c r="W128" s="343"/>
      <c r="X128" s="343"/>
      <c r="Y128" s="349">
        <f>SUM(V128:X128)</f>
        <v>0</v>
      </c>
      <c r="Z128" s="120"/>
      <c r="AA128" s="373">
        <f>BG128+BM128+BQ128</f>
        <v>0</v>
      </c>
      <c r="AC128" s="343">
        <f>AT128+BV128+BZ128</f>
        <v>0</v>
      </c>
      <c r="AD128" s="343"/>
      <c r="AE128" s="343"/>
      <c r="AF128" s="349">
        <f>SUM(AC128:AE128)</f>
        <v>0</v>
      </c>
      <c r="AG128" s="120"/>
      <c r="AH128" s="343"/>
      <c r="AI128" s="343"/>
      <c r="AJ128" s="343"/>
      <c r="AK128" s="349">
        <f>SUM(AH128:AJ128)</f>
        <v>0</v>
      </c>
      <c r="AL128" s="373">
        <f>BK128+BX128+CB128</f>
        <v>0</v>
      </c>
    </row>
    <row r="129" spans="1:38" ht="12.75" hidden="1">
      <c r="A129" s="91">
        <v>24</v>
      </c>
      <c r="B129" s="92" t="s">
        <v>809</v>
      </c>
      <c r="C129" s="32" t="s">
        <v>810</v>
      </c>
      <c r="D129" s="343">
        <f>O129+AC129+AM129</f>
        <v>0</v>
      </c>
      <c r="F129" s="343">
        <f>Q129+AL129+AO129</f>
        <v>0</v>
      </c>
      <c r="G129" s="343"/>
      <c r="H129" s="343"/>
      <c r="I129" s="349">
        <f t="shared" si="51"/>
        <v>0</v>
      </c>
      <c r="J129" s="120"/>
      <c r="K129" s="343">
        <f>V129+AP129+AT129</f>
        <v>0</v>
      </c>
      <c r="L129" s="343"/>
      <c r="M129" s="343"/>
      <c r="N129" s="349">
        <f>SUM(K129:M129)</f>
        <v>0</v>
      </c>
      <c r="O129" s="373">
        <f>AA129+AM129+AQ129</f>
        <v>0</v>
      </c>
      <c r="Q129" s="343">
        <v>0</v>
      </c>
      <c r="R129" s="343"/>
      <c r="S129" s="343"/>
      <c r="T129" s="349">
        <f>SUM(Q129:S129)</f>
        <v>0</v>
      </c>
      <c r="U129" s="120"/>
      <c r="V129" s="343">
        <v>0</v>
      </c>
      <c r="W129" s="343"/>
      <c r="X129" s="343"/>
      <c r="Y129" s="349">
        <f>SUM(V129:X129)</f>
        <v>0</v>
      </c>
      <c r="Z129" s="120"/>
      <c r="AA129" s="373">
        <f>BG129+BM129+BQ129</f>
        <v>0</v>
      </c>
      <c r="AC129" s="343">
        <f>AT129+BV129+BZ129</f>
        <v>0</v>
      </c>
      <c r="AD129" s="343"/>
      <c r="AE129" s="343"/>
      <c r="AF129" s="349">
        <f>SUM(AC129:AE129)</f>
        <v>0</v>
      </c>
      <c r="AG129" s="120"/>
      <c r="AH129" s="343"/>
      <c r="AI129" s="343"/>
      <c r="AJ129" s="343"/>
      <c r="AK129" s="349">
        <f>SUM(AH129:AJ129)</f>
        <v>0</v>
      </c>
      <c r="AL129" s="373">
        <f>BK129+BX129+CB129</f>
        <v>0</v>
      </c>
    </row>
    <row r="130" spans="1:38" ht="12.75" hidden="1">
      <c r="A130" s="91">
        <v>25</v>
      </c>
      <c r="B130" s="92" t="s">
        <v>811</v>
      </c>
      <c r="C130" s="32" t="s">
        <v>812</v>
      </c>
      <c r="D130" s="343">
        <f>O130+AC130+AM130</f>
        <v>0</v>
      </c>
      <c r="F130" s="343">
        <f>Q130+AL130+AO130</f>
        <v>0</v>
      </c>
      <c r="G130" s="343"/>
      <c r="H130" s="343"/>
      <c r="I130" s="349">
        <f t="shared" si="51"/>
        <v>0</v>
      </c>
      <c r="J130" s="120"/>
      <c r="K130" s="343">
        <f>V130+AP130+AT130</f>
        <v>0</v>
      </c>
      <c r="L130" s="343"/>
      <c r="M130" s="343"/>
      <c r="N130" s="349">
        <f>SUM(K130:M130)</f>
        <v>0</v>
      </c>
      <c r="O130" s="373">
        <f>AA130+AM130+AQ130</f>
        <v>0</v>
      </c>
      <c r="Q130" s="343">
        <v>0</v>
      </c>
      <c r="R130" s="343"/>
      <c r="S130" s="343"/>
      <c r="T130" s="349">
        <f>SUM(Q130:S130)</f>
        <v>0</v>
      </c>
      <c r="U130" s="120"/>
      <c r="V130" s="343">
        <v>0</v>
      </c>
      <c r="W130" s="343"/>
      <c r="X130" s="343"/>
      <c r="Y130" s="349">
        <f>SUM(V130:X130)</f>
        <v>0</v>
      </c>
      <c r="Z130" s="120"/>
      <c r="AA130" s="373">
        <f>BG130+BM130+BQ130</f>
        <v>0</v>
      </c>
      <c r="AC130" s="343">
        <f>AT130+BV130+BZ130</f>
        <v>0</v>
      </c>
      <c r="AD130" s="343"/>
      <c r="AE130" s="343"/>
      <c r="AF130" s="349">
        <f>SUM(AC130:AE130)</f>
        <v>0</v>
      </c>
      <c r="AG130" s="120"/>
      <c r="AH130" s="343"/>
      <c r="AI130" s="343"/>
      <c r="AJ130" s="343"/>
      <c r="AK130" s="349">
        <f>SUM(AH130:AJ130)</f>
        <v>0</v>
      </c>
      <c r="AL130" s="373">
        <f>BK130+BX130+CB130</f>
        <v>0</v>
      </c>
    </row>
    <row r="131" spans="1:38" ht="12.75" hidden="1">
      <c r="A131" s="91">
        <v>26</v>
      </c>
      <c r="B131" s="92" t="s">
        <v>813</v>
      </c>
      <c r="C131" s="32" t="s">
        <v>814</v>
      </c>
      <c r="D131" s="343">
        <f>O131+AC131+AM131</f>
        <v>0</v>
      </c>
      <c r="F131" s="343">
        <f>Q131+AL131+AO131</f>
        <v>0</v>
      </c>
      <c r="G131" s="343"/>
      <c r="H131" s="343"/>
      <c r="I131" s="349">
        <f t="shared" si="51"/>
        <v>0</v>
      </c>
      <c r="J131" s="120"/>
      <c r="K131" s="343">
        <f>V131+AP131+AT131</f>
        <v>0</v>
      </c>
      <c r="L131" s="343"/>
      <c r="M131" s="343"/>
      <c r="N131" s="349">
        <f>SUM(K131:M131)</f>
        <v>0</v>
      </c>
      <c r="O131" s="373">
        <f>AA131+AM131+AQ131</f>
        <v>0</v>
      </c>
      <c r="Q131" s="343">
        <v>0</v>
      </c>
      <c r="R131" s="343"/>
      <c r="S131" s="343"/>
      <c r="T131" s="349">
        <f>SUM(Q131:S131)</f>
        <v>0</v>
      </c>
      <c r="U131" s="120"/>
      <c r="V131" s="343">
        <v>0</v>
      </c>
      <c r="W131" s="343"/>
      <c r="X131" s="343"/>
      <c r="Y131" s="349">
        <f>SUM(V131:X131)</f>
        <v>0</v>
      </c>
      <c r="Z131" s="120"/>
      <c r="AA131" s="373">
        <f>BG131+BM131+BQ131</f>
        <v>0</v>
      </c>
      <c r="AC131" s="343">
        <f>AT131+BV131+BZ131</f>
        <v>0</v>
      </c>
      <c r="AD131" s="343"/>
      <c r="AE131" s="343"/>
      <c r="AF131" s="349">
        <f>SUM(AC131:AE131)</f>
        <v>0</v>
      </c>
      <c r="AG131" s="120"/>
      <c r="AH131" s="343"/>
      <c r="AI131" s="343"/>
      <c r="AJ131" s="343"/>
      <c r="AK131" s="349">
        <f>SUM(AH131:AJ131)</f>
        <v>0</v>
      </c>
      <c r="AL131" s="373">
        <f>BK131+BX131+CB131</f>
        <v>0</v>
      </c>
    </row>
    <row r="132" spans="1:38" ht="12.75">
      <c r="A132" s="55">
        <v>27</v>
      </c>
      <c r="B132" s="60" t="s">
        <v>815</v>
      </c>
      <c r="C132" s="39" t="s">
        <v>816</v>
      </c>
      <c r="D132" s="101">
        <f>SUM(D127:D131)</f>
        <v>0</v>
      </c>
      <c r="F132" s="38">
        <f>SUM(F127:F131)</f>
        <v>0</v>
      </c>
      <c r="G132" s="38">
        <f>SUM(G127:G131)</f>
        <v>0</v>
      </c>
      <c r="H132" s="38">
        <f>SUM(H127:H131)</f>
        <v>0</v>
      </c>
      <c r="I132" s="101">
        <f>SUM(I127:I131)</f>
        <v>0</v>
      </c>
      <c r="J132" s="366"/>
      <c r="K132" s="38">
        <f>SUM(K127:K131)</f>
        <v>0</v>
      </c>
      <c r="L132" s="38">
        <f>SUM(L127:L131)</f>
        <v>0</v>
      </c>
      <c r="M132" s="38">
        <f>SUM(M127:M131)</f>
        <v>0</v>
      </c>
      <c r="N132" s="38">
        <f>SUM(N127:N131)</f>
        <v>0</v>
      </c>
      <c r="O132" s="101">
        <f>SUM(O127:O131)</f>
        <v>0</v>
      </c>
      <c r="Q132" s="38">
        <f>SUM(Q127:Q131)</f>
        <v>0</v>
      </c>
      <c r="R132" s="38">
        <f>SUM(R127:R131)</f>
        <v>0</v>
      </c>
      <c r="S132" s="38">
        <f>SUM(S127:S131)</f>
        <v>0</v>
      </c>
      <c r="T132" s="101">
        <f>SUM(T127:T131)</f>
        <v>0</v>
      </c>
      <c r="U132" s="366"/>
      <c r="V132" s="38">
        <f>SUM(V127:V131)</f>
        <v>0</v>
      </c>
      <c r="W132" s="38">
        <f>SUM(W127:W131)</f>
        <v>0</v>
      </c>
      <c r="X132" s="38">
        <f>SUM(X127:X131)</f>
        <v>0</v>
      </c>
      <c r="Y132" s="101">
        <f>SUM(Y127:Y131)</f>
        <v>0</v>
      </c>
      <c r="Z132" s="366"/>
      <c r="AA132" s="101">
        <f>SUM(AA127:AA131)</f>
        <v>0</v>
      </c>
      <c r="AC132" s="38">
        <f>SUM(AC127:AC131)</f>
        <v>0</v>
      </c>
      <c r="AD132" s="38">
        <f>SUM(AD127:AD131)</f>
        <v>0</v>
      </c>
      <c r="AE132" s="38">
        <f>SUM(AE127:AE131)</f>
        <v>0</v>
      </c>
      <c r="AF132" s="101">
        <f>SUM(AF127:AF131)</f>
        <v>0</v>
      </c>
      <c r="AG132" s="366"/>
      <c r="AH132" s="38">
        <f>SUM(AH127:AH131)</f>
        <v>0</v>
      </c>
      <c r="AI132" s="38">
        <f>SUM(AI127:AI131)</f>
        <v>0</v>
      </c>
      <c r="AJ132" s="38">
        <f>SUM(AJ127:AJ131)</f>
        <v>0</v>
      </c>
      <c r="AK132" s="38">
        <f>SUM(AK127:AK131)</f>
        <v>0</v>
      </c>
      <c r="AL132" s="101">
        <f>SUM(AL127:AL131)</f>
        <v>0</v>
      </c>
    </row>
    <row r="133" spans="1:38" ht="12.75" hidden="1">
      <c r="A133" s="376">
        <v>28</v>
      </c>
      <c r="B133" s="377" t="s">
        <v>817</v>
      </c>
      <c r="C133" s="378" t="s">
        <v>818</v>
      </c>
      <c r="D133" s="379">
        <f>O133+AC133+AM133</f>
        <v>0</v>
      </c>
      <c r="F133" s="379">
        <f>Q133+AL133+AO133</f>
        <v>0</v>
      </c>
      <c r="G133" s="379"/>
      <c r="H133" s="379"/>
      <c r="I133" s="380">
        <f t="shared" si="51"/>
        <v>0</v>
      </c>
      <c r="J133" s="381"/>
      <c r="K133" s="379">
        <f>V133+AP133+AT133</f>
        <v>0</v>
      </c>
      <c r="L133" s="379"/>
      <c r="M133" s="379"/>
      <c r="N133" s="380">
        <f>SUM(K133:M133)</f>
        <v>0</v>
      </c>
      <c r="O133" s="384">
        <f>AA133+AM133+AQ133</f>
        <v>0</v>
      </c>
      <c r="Q133" s="343">
        <v>0</v>
      </c>
      <c r="R133" s="379"/>
      <c r="S133" s="379"/>
      <c r="T133" s="380">
        <f>SUM(Q133:S133)</f>
        <v>0</v>
      </c>
      <c r="U133" s="381"/>
      <c r="V133" s="343">
        <v>0</v>
      </c>
      <c r="W133" s="379"/>
      <c r="X133" s="379"/>
      <c r="Y133" s="380">
        <f>SUM(V133:X133)</f>
        <v>0</v>
      </c>
      <c r="Z133" s="381"/>
      <c r="AA133" s="384">
        <f>BG133+BM133+BQ133</f>
        <v>0</v>
      </c>
      <c r="AC133" s="379">
        <f>AT133+BV133+BZ133</f>
        <v>0</v>
      </c>
      <c r="AD133" s="379"/>
      <c r="AE133" s="379"/>
      <c r="AF133" s="380">
        <f>SUM(AC133:AE133)</f>
        <v>0</v>
      </c>
      <c r="AG133" s="381"/>
      <c r="AH133" s="379"/>
      <c r="AI133" s="379"/>
      <c r="AJ133" s="379"/>
      <c r="AK133" s="380">
        <f>SUM(AH133:AJ133)</f>
        <v>0</v>
      </c>
      <c r="AL133" s="384">
        <f>BK133+BX133+CB133</f>
        <v>0</v>
      </c>
    </row>
    <row r="134" spans="1:38" ht="12.75" hidden="1">
      <c r="A134" s="376">
        <v>29</v>
      </c>
      <c r="B134" s="377" t="s">
        <v>819</v>
      </c>
      <c r="C134" s="378" t="s">
        <v>820</v>
      </c>
      <c r="D134" s="379">
        <f>O134+AC134+AM134</f>
        <v>0</v>
      </c>
      <c r="F134" s="379">
        <f>Q134+AL134+AO134</f>
        <v>0</v>
      </c>
      <c r="G134" s="379"/>
      <c r="H134" s="379"/>
      <c r="I134" s="380">
        <f t="shared" si="51"/>
        <v>0</v>
      </c>
      <c r="J134" s="381"/>
      <c r="K134" s="379">
        <f>V134+AP134+AT134</f>
        <v>0</v>
      </c>
      <c r="L134" s="379"/>
      <c r="M134" s="379"/>
      <c r="N134" s="380">
        <f>SUM(K134:M134)</f>
        <v>0</v>
      </c>
      <c r="O134" s="384">
        <f>AA134+AM134+AQ134</f>
        <v>0</v>
      </c>
      <c r="Q134" s="343">
        <v>0</v>
      </c>
      <c r="R134" s="379"/>
      <c r="S134" s="379"/>
      <c r="T134" s="380">
        <f>SUM(Q134:S134)</f>
        <v>0</v>
      </c>
      <c r="U134" s="381"/>
      <c r="V134" s="343">
        <v>0</v>
      </c>
      <c r="W134" s="379"/>
      <c r="X134" s="379"/>
      <c r="Y134" s="380">
        <f>SUM(V134:X134)</f>
        <v>0</v>
      </c>
      <c r="Z134" s="381"/>
      <c r="AA134" s="384">
        <f>BG134+BM134+BQ134</f>
        <v>0</v>
      </c>
      <c r="AC134" s="379">
        <f>AT134+BV134+BZ134</f>
        <v>0</v>
      </c>
      <c r="AD134" s="379"/>
      <c r="AE134" s="379"/>
      <c r="AF134" s="380">
        <f>SUM(AC134:AE134)</f>
        <v>0</v>
      </c>
      <c r="AG134" s="381"/>
      <c r="AH134" s="379"/>
      <c r="AI134" s="379"/>
      <c r="AJ134" s="379"/>
      <c r="AK134" s="380">
        <f>SUM(AH134:AJ134)</f>
        <v>0</v>
      </c>
      <c r="AL134" s="384">
        <f>BK134+BX134+CB134</f>
        <v>0</v>
      </c>
    </row>
    <row r="135" spans="1:38" ht="12.75">
      <c r="A135" s="87">
        <v>30</v>
      </c>
      <c r="B135" s="93" t="s">
        <v>821</v>
      </c>
      <c r="C135" s="78" t="s">
        <v>822</v>
      </c>
      <c r="D135" s="89">
        <f>D134+D133+D132+D126</f>
        <v>0</v>
      </c>
      <c r="F135" s="89">
        <f>F134+F133+F132+F126</f>
        <v>0</v>
      </c>
      <c r="G135" s="89">
        <f>G134+G133+G132+G126</f>
        <v>0</v>
      </c>
      <c r="H135" s="89">
        <f>H134+H133+H132+H126</f>
        <v>0</v>
      </c>
      <c r="I135" s="89">
        <f>I134+I133+I132+I126</f>
        <v>0</v>
      </c>
      <c r="J135" s="366"/>
      <c r="K135" s="89">
        <f>K134+K133+K132+K126</f>
        <v>0</v>
      </c>
      <c r="L135" s="89">
        <f>L134+L133+L132+L126</f>
        <v>0</v>
      </c>
      <c r="M135" s="89">
        <f>M134+M133+M132+M126</f>
        <v>0</v>
      </c>
      <c r="N135" s="89">
        <f>N134+N133+N132+N126</f>
        <v>0</v>
      </c>
      <c r="O135" s="89">
        <f>O134+O133+O132+O126</f>
        <v>0</v>
      </c>
      <c r="Q135" s="89">
        <f>Q134+Q133+Q132+Q126</f>
        <v>0</v>
      </c>
      <c r="R135" s="89">
        <f>R134+R133+R132+R126</f>
        <v>0</v>
      </c>
      <c r="S135" s="89">
        <f>S134+S133+S132+S126</f>
        <v>0</v>
      </c>
      <c r="T135" s="89">
        <f>T134+T133+T132+T126</f>
        <v>0</v>
      </c>
      <c r="U135" s="366"/>
      <c r="V135" s="89">
        <f>V134+V133+V132+V126</f>
        <v>0</v>
      </c>
      <c r="W135" s="89">
        <f>W134+W133+W132+W126</f>
        <v>0</v>
      </c>
      <c r="X135" s="89">
        <f>X134+X133+X132+X126</f>
        <v>0</v>
      </c>
      <c r="Y135" s="89">
        <f>Y134+Y133+Y132+Y126</f>
        <v>0</v>
      </c>
      <c r="Z135" s="366"/>
      <c r="AA135" s="89">
        <f>AA134+AA133+AA132+AA126</f>
        <v>0</v>
      </c>
      <c r="AC135" s="89">
        <f>AC134+AC133+AC132+AC126</f>
        <v>0</v>
      </c>
      <c r="AD135" s="89">
        <f>AD134+AD133+AD132+AD126</f>
        <v>0</v>
      </c>
      <c r="AE135" s="89">
        <f>AE134+AE133+AE132+AE126</f>
        <v>0</v>
      </c>
      <c r="AF135" s="89">
        <f>AF134+AF133+AF132+AF126</f>
        <v>0</v>
      </c>
      <c r="AG135" s="366"/>
      <c r="AH135" s="89">
        <f>AH134+AH133+AH132+AH126</f>
        <v>0</v>
      </c>
      <c r="AI135" s="89">
        <f>AI134+AI133+AI132+AI126</f>
        <v>0</v>
      </c>
      <c r="AJ135" s="89">
        <f>AJ134+AJ133+AJ132+AJ126</f>
        <v>0</v>
      </c>
      <c r="AK135" s="89">
        <f>AK134+AK133+AK132+AK126</f>
        <v>0</v>
      </c>
      <c r="AL135" s="89">
        <f>AL134+AL133+AL132+AL126</f>
        <v>0</v>
      </c>
    </row>
    <row r="137" spans="1:38" s="40" customFormat="1" ht="12.75" customHeight="1">
      <c r="A137" s="76">
        <v>95</v>
      </c>
      <c r="B137" s="79" t="s">
        <v>1353</v>
      </c>
      <c r="C137" s="77" t="s">
        <v>939</v>
      </c>
      <c r="D137" s="118">
        <f>D135+D104</f>
        <v>327949999.8</v>
      </c>
      <c r="E137" s="107"/>
      <c r="F137" s="118">
        <f>F135+F104</f>
        <v>42135000</v>
      </c>
      <c r="G137" s="118">
        <f>G135+G104</f>
        <v>0</v>
      </c>
      <c r="H137" s="118">
        <f>H135+H104</f>
        <v>0</v>
      </c>
      <c r="I137" s="118">
        <f>I135+I104</f>
        <v>42135000</v>
      </c>
      <c r="J137" s="366"/>
      <c r="K137" s="118">
        <f>K135+K104</f>
        <v>42965000</v>
      </c>
      <c r="L137" s="118">
        <f>L135+L104</f>
        <v>0</v>
      </c>
      <c r="M137" s="118">
        <f>M135+M104</f>
        <v>0</v>
      </c>
      <c r="N137" s="118">
        <f>N135+N104</f>
        <v>42965000</v>
      </c>
      <c r="O137" s="118">
        <f>O135+O104</f>
        <v>85100000</v>
      </c>
      <c r="P137" s="107"/>
      <c r="Q137" s="118">
        <f>Q135+Q104</f>
        <v>29801999.8</v>
      </c>
      <c r="R137" s="118">
        <f>R135+R104</f>
        <v>0</v>
      </c>
      <c r="S137" s="118">
        <f>S135+S104</f>
        <v>0</v>
      </c>
      <c r="T137" s="118">
        <f>T135+T104</f>
        <v>29801999.8</v>
      </c>
      <c r="U137" s="366"/>
      <c r="V137" s="118">
        <f aca="true" t="shared" si="73" ref="V137:AL137">V135+V104</f>
        <v>9298000</v>
      </c>
      <c r="W137" s="118">
        <f t="shared" si="73"/>
        <v>0</v>
      </c>
      <c r="X137" s="118">
        <f t="shared" si="73"/>
        <v>0</v>
      </c>
      <c r="Y137" s="118">
        <f t="shared" si="73"/>
        <v>9298000</v>
      </c>
      <c r="Z137" s="366"/>
      <c r="AA137" s="118">
        <f t="shared" si="73"/>
        <v>39099999.8</v>
      </c>
      <c r="AB137" s="107"/>
      <c r="AC137" s="118">
        <f t="shared" si="73"/>
        <v>89580000</v>
      </c>
      <c r="AD137" s="118">
        <f t="shared" si="73"/>
        <v>12740000</v>
      </c>
      <c r="AE137" s="118">
        <f t="shared" si="73"/>
        <v>0</v>
      </c>
      <c r="AF137" s="118">
        <f t="shared" si="73"/>
        <v>102320000</v>
      </c>
      <c r="AG137" s="366"/>
      <c r="AH137" s="118">
        <f t="shared" si="73"/>
        <v>114170000</v>
      </c>
      <c r="AI137" s="118">
        <f t="shared" si="73"/>
        <v>-12740000</v>
      </c>
      <c r="AJ137" s="118">
        <f t="shared" si="73"/>
        <v>0</v>
      </c>
      <c r="AK137" s="118">
        <f t="shared" si="73"/>
        <v>101430000</v>
      </c>
      <c r="AL137" s="118">
        <f t="shared" si="73"/>
        <v>203750000</v>
      </c>
    </row>
    <row r="138" ht="12.75">
      <c r="AA138" s="50">
        <f>39100000-AA137</f>
        <v>0.20000000298023224</v>
      </c>
    </row>
    <row r="140" spans="1:28" ht="15">
      <c r="A140" s="16"/>
      <c r="B140" s="6" t="s">
        <v>1543</v>
      </c>
      <c r="C140" s="58"/>
      <c r="D140" s="59"/>
      <c r="J140" s="80"/>
      <c r="U140" s="80"/>
      <c r="Z140" s="80"/>
      <c r="AB140" s="100"/>
    </row>
    <row r="141" spans="1:28" ht="12.75">
      <c r="A141" s="16"/>
      <c r="C141" s="58"/>
      <c r="D141" s="59"/>
      <c r="J141" s="80"/>
      <c r="U141" s="80"/>
      <c r="Z141" s="80"/>
      <c r="AB141" s="100"/>
    </row>
    <row r="142" spans="1:28" ht="12.75">
      <c r="A142" s="16"/>
      <c r="C142" s="58"/>
      <c r="D142" s="59"/>
      <c r="J142" s="80"/>
      <c r="U142" s="80"/>
      <c r="Z142" s="80"/>
      <c r="AB142" s="100"/>
    </row>
    <row r="143" spans="1:34" ht="12.75">
      <c r="A143" s="16"/>
      <c r="B143" s="651" t="s">
        <v>909</v>
      </c>
      <c r="C143" s="58"/>
      <c r="D143" s="59"/>
      <c r="F143" s="16" t="s">
        <v>1532</v>
      </c>
      <c r="H143" s="16" t="s">
        <v>1335</v>
      </c>
      <c r="J143" s="80"/>
      <c r="K143" s="16" t="s">
        <v>1334</v>
      </c>
      <c r="L143" s="16" t="s">
        <v>1334</v>
      </c>
      <c r="Q143" s="16" t="s">
        <v>897</v>
      </c>
      <c r="S143" s="16" t="s">
        <v>897</v>
      </c>
      <c r="U143" s="80"/>
      <c r="V143" s="16" t="s">
        <v>897</v>
      </c>
      <c r="W143" s="16" t="s">
        <v>897</v>
      </c>
      <c r="Z143" s="80"/>
      <c r="AB143" s="100"/>
      <c r="AC143" s="16" t="s">
        <v>897</v>
      </c>
      <c r="AH143" s="16" t="s">
        <v>897</v>
      </c>
    </row>
  </sheetData>
  <sheetProtection/>
  <mergeCells count="12">
    <mergeCell ref="AC8:AF8"/>
    <mergeCell ref="AH8:AK8"/>
    <mergeCell ref="F8:I8"/>
    <mergeCell ref="K8:N8"/>
    <mergeCell ref="Q8:T8"/>
    <mergeCell ref="V8:Y8"/>
    <mergeCell ref="A1:D1"/>
    <mergeCell ref="A2:A5"/>
    <mergeCell ref="C4:D5"/>
    <mergeCell ref="A6:D6"/>
    <mergeCell ref="A7:D7"/>
    <mergeCell ref="B3:D3"/>
  </mergeCells>
  <printOptions/>
  <pageMargins left="0.11811023622047245" right="0.11811023622047245" top="0.35433070866141736" bottom="0.35433070866141736" header="0.31496062992125984" footer="0.31496062992125984"/>
  <pageSetup horizontalDpi="600" verticalDpi="600" orientation="landscape" paperSize="8" scale="60" r:id="rId3"/>
  <legacyDrawing r:id="rId2"/>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P29" sqref="A1:P29"/>
    </sheetView>
  </sheetViews>
  <sheetFormatPr defaultColWidth="9.140625" defaultRowHeight="15"/>
  <cols>
    <col min="1" max="1" width="2.57421875" style="1" customWidth="1"/>
    <col min="2" max="2" width="30.421875" style="1" customWidth="1"/>
    <col min="3" max="5" width="11.7109375" style="1" customWidth="1"/>
    <col min="6" max="7" width="11.140625" style="1" customWidth="1"/>
    <col min="8" max="9" width="11.421875" style="1" customWidth="1"/>
    <col min="10" max="10" width="9.00390625" style="1" customWidth="1"/>
    <col min="11" max="12" width="13.140625" style="1" customWidth="1"/>
    <col min="13" max="13" width="8.140625" style="1" customWidth="1"/>
    <col min="14" max="14" width="10.7109375" style="1" customWidth="1"/>
    <col min="15" max="15" width="10.8515625" style="1" customWidth="1"/>
    <col min="16" max="16" width="10.00390625" style="1" customWidth="1"/>
    <col min="17" max="17" width="7.8515625" style="1" customWidth="1"/>
    <col min="18" max="18" width="23.140625" style="1" customWidth="1"/>
    <col min="19" max="16384" width="9.140625" style="1" customWidth="1"/>
  </cols>
  <sheetData>
    <row r="1" spans="1:16" s="472" customFormat="1" ht="12.75">
      <c r="A1" s="707" t="s">
        <v>1432</v>
      </c>
      <c r="B1" s="707"/>
      <c r="C1" s="707"/>
      <c r="D1" s="707"/>
      <c r="E1" s="707"/>
      <c r="F1" s="707"/>
      <c r="G1" s="707"/>
      <c r="H1" s="707"/>
      <c r="I1" s="707"/>
      <c r="J1" s="707"/>
      <c r="K1" s="707"/>
      <c r="L1" s="707"/>
      <c r="M1" s="707"/>
      <c r="N1" s="707"/>
      <c r="O1" s="707"/>
      <c r="P1" s="707"/>
    </row>
    <row r="2" spans="1:16" s="472" customFormat="1" ht="12.75">
      <c r="A2" s="707" t="s">
        <v>1545</v>
      </c>
      <c r="B2" s="707"/>
      <c r="C2" s="707"/>
      <c r="D2" s="707"/>
      <c r="E2" s="707"/>
      <c r="F2" s="707"/>
      <c r="G2" s="707"/>
      <c r="H2" s="707"/>
      <c r="I2" s="707"/>
      <c r="J2" s="707"/>
      <c r="K2" s="707"/>
      <c r="L2" s="707"/>
      <c r="M2" s="707"/>
      <c r="N2" s="707"/>
      <c r="O2" s="707"/>
      <c r="P2" s="707"/>
    </row>
    <row r="3" spans="1:16" s="472" customFormat="1" ht="12.75">
      <c r="A3" s="475"/>
      <c r="B3" s="473"/>
      <c r="C3" s="473"/>
      <c r="D3" s="473"/>
      <c r="E3" s="473"/>
      <c r="F3" s="473"/>
      <c r="G3" s="473"/>
      <c r="H3" s="476" t="s">
        <v>1433</v>
      </c>
      <c r="I3" s="594"/>
      <c r="J3" s="473"/>
      <c r="K3" s="473"/>
      <c r="L3" s="473"/>
      <c r="M3" s="473"/>
      <c r="N3" s="473"/>
      <c r="O3" s="473"/>
      <c r="P3" s="477"/>
    </row>
    <row r="4" spans="1:16" s="472" customFormat="1" ht="13.5" thickBot="1">
      <c r="A4" s="475"/>
      <c r="B4" s="473"/>
      <c r="C4" s="473"/>
      <c r="D4" s="473"/>
      <c r="E4" s="473"/>
      <c r="F4" s="473"/>
      <c r="G4" s="473"/>
      <c r="H4" s="473"/>
      <c r="I4" s="473"/>
      <c r="J4" s="473"/>
      <c r="K4" s="473"/>
      <c r="L4" s="473"/>
      <c r="M4" s="473"/>
      <c r="N4" s="473"/>
      <c r="O4" s="473"/>
      <c r="P4" s="479" t="s">
        <v>1343</v>
      </c>
    </row>
    <row r="5" spans="1:16" s="472" customFormat="1" ht="13.5" thickBot="1">
      <c r="A5" s="497"/>
      <c r="B5" s="482"/>
      <c r="C5" s="482"/>
      <c r="D5" s="708" t="s">
        <v>1477</v>
      </c>
      <c r="E5" s="708"/>
      <c r="F5" s="708"/>
      <c r="G5" s="708"/>
      <c r="H5" s="709"/>
      <c r="I5" s="709"/>
      <c r="J5" s="709"/>
      <c r="K5" s="708"/>
      <c r="L5" s="708"/>
      <c r="M5" s="708"/>
      <c r="N5" s="708"/>
      <c r="O5" s="710" t="s">
        <v>1508</v>
      </c>
      <c r="P5" s="711"/>
    </row>
    <row r="6" spans="1:16" s="472" customFormat="1" ht="13.5" thickBot="1">
      <c r="A6" s="490"/>
      <c r="B6" s="595"/>
      <c r="C6" s="595"/>
      <c r="D6" s="712" t="s">
        <v>1478</v>
      </c>
      <c r="E6" s="713"/>
      <c r="F6" s="713"/>
      <c r="G6" s="713"/>
      <c r="H6" s="713"/>
      <c r="I6" s="713"/>
      <c r="J6" s="714"/>
      <c r="K6" s="712" t="s">
        <v>912</v>
      </c>
      <c r="L6" s="713"/>
      <c r="M6" s="713"/>
      <c r="N6" s="714"/>
      <c r="O6" s="596"/>
      <c r="P6" s="597"/>
    </row>
    <row r="7" spans="1:16" s="472" customFormat="1" ht="12.75" customHeight="1">
      <c r="A7" s="495"/>
      <c r="B7" s="496" t="s">
        <v>1440</v>
      </c>
      <c r="C7" s="496" t="s">
        <v>1437</v>
      </c>
      <c r="D7" s="598"/>
      <c r="E7" s="599"/>
      <c r="F7" s="520"/>
      <c r="G7" s="600"/>
      <c r="H7" s="497"/>
      <c r="I7" s="601"/>
      <c r="J7" s="602"/>
      <c r="K7" s="603"/>
      <c r="L7" s="505"/>
      <c r="M7" s="604"/>
      <c r="N7" s="500"/>
      <c r="O7" s="605" t="s">
        <v>1450</v>
      </c>
      <c r="P7" s="503" t="s">
        <v>1451</v>
      </c>
    </row>
    <row r="8" spans="1:16" s="472" customFormat="1" ht="12.75">
      <c r="A8" s="495"/>
      <c r="B8" s="496" t="s">
        <v>1452</v>
      </c>
      <c r="C8" s="496" t="s">
        <v>1479</v>
      </c>
      <c r="D8" s="605" t="s">
        <v>1450</v>
      </c>
      <c r="E8" s="504" t="s">
        <v>1480</v>
      </c>
      <c r="F8" s="505" t="s">
        <v>1450</v>
      </c>
      <c r="G8" s="505" t="s">
        <v>1450</v>
      </c>
      <c r="H8" s="502" t="s">
        <v>1451</v>
      </c>
      <c r="I8" s="505" t="s">
        <v>1481</v>
      </c>
      <c r="J8" s="503" t="s">
        <v>1451</v>
      </c>
      <c r="K8" s="606" t="s">
        <v>1482</v>
      </c>
      <c r="L8" s="505" t="s">
        <v>1483</v>
      </c>
      <c r="M8" s="607" t="s">
        <v>1437</v>
      </c>
      <c r="N8" s="503" t="s">
        <v>1450</v>
      </c>
      <c r="O8" s="605" t="s">
        <v>1459</v>
      </c>
      <c r="P8" s="503" t="s">
        <v>1459</v>
      </c>
    </row>
    <row r="9" spans="1:16" s="472" customFormat="1" ht="12.75">
      <c r="A9" s="608"/>
      <c r="B9" s="496"/>
      <c r="C9" s="496" t="s">
        <v>1453</v>
      </c>
      <c r="D9" s="605" t="s">
        <v>1484</v>
      </c>
      <c r="E9" s="504" t="s">
        <v>1479</v>
      </c>
      <c r="F9" s="505" t="s">
        <v>1479</v>
      </c>
      <c r="G9" s="505" t="s">
        <v>1459</v>
      </c>
      <c r="H9" s="502" t="s">
        <v>1484</v>
      </c>
      <c r="I9" s="505" t="s">
        <v>1479</v>
      </c>
      <c r="J9" s="503" t="s">
        <v>1459</v>
      </c>
      <c r="K9" s="606" t="s">
        <v>1485</v>
      </c>
      <c r="L9" s="505" t="s">
        <v>1486</v>
      </c>
      <c r="M9" s="607" t="s">
        <v>1487</v>
      </c>
      <c r="N9" s="503" t="s">
        <v>1488</v>
      </c>
      <c r="O9" s="605"/>
      <c r="P9" s="503"/>
    </row>
    <row r="10" spans="1:16" s="472" customFormat="1" ht="12.75">
      <c r="A10" s="609" t="s">
        <v>1460</v>
      </c>
      <c r="B10" s="496"/>
      <c r="C10" s="494" t="s">
        <v>1489</v>
      </c>
      <c r="D10" s="605" t="s">
        <v>1479</v>
      </c>
      <c r="E10" s="504"/>
      <c r="F10" s="505" t="s">
        <v>1490</v>
      </c>
      <c r="G10" s="505" t="s">
        <v>1491</v>
      </c>
      <c r="H10" s="502" t="s">
        <v>1479</v>
      </c>
      <c r="I10" s="505" t="s">
        <v>1489</v>
      </c>
      <c r="J10" s="503" t="s">
        <v>1491</v>
      </c>
      <c r="K10" s="606" t="s">
        <v>1492</v>
      </c>
      <c r="L10" s="505" t="s">
        <v>1493</v>
      </c>
      <c r="M10" s="607" t="s">
        <v>1494</v>
      </c>
      <c r="N10" s="503" t="s">
        <v>1495</v>
      </c>
      <c r="O10" s="605"/>
      <c r="P10" s="503"/>
    </row>
    <row r="11" spans="1:16" s="472" customFormat="1" ht="12.75">
      <c r="A11" s="609"/>
      <c r="B11" s="496"/>
      <c r="C11" s="494"/>
      <c r="D11" s="605" t="s">
        <v>1496</v>
      </c>
      <c r="E11" s="504"/>
      <c r="F11" s="505"/>
      <c r="G11" s="505" t="s">
        <v>1497</v>
      </c>
      <c r="H11" s="502" t="s">
        <v>1496</v>
      </c>
      <c r="I11" s="505"/>
      <c r="J11" s="503" t="s">
        <v>1497</v>
      </c>
      <c r="K11" s="606" t="s">
        <v>1494</v>
      </c>
      <c r="L11" s="505"/>
      <c r="M11" s="607"/>
      <c r="N11" s="503"/>
      <c r="O11" s="605"/>
      <c r="P11" s="503"/>
    </row>
    <row r="12" spans="1:16" s="472" customFormat="1" ht="13.5" thickBot="1">
      <c r="A12" s="610"/>
      <c r="B12" s="523"/>
      <c r="C12" s="523"/>
      <c r="D12" s="526"/>
      <c r="E12" s="611"/>
      <c r="F12" s="612"/>
      <c r="G12" s="612"/>
      <c r="H12" s="524"/>
      <c r="I12" s="612"/>
      <c r="J12" s="613"/>
      <c r="K12" s="614"/>
      <c r="L12" s="612"/>
      <c r="M12" s="615"/>
      <c r="N12" s="527"/>
      <c r="O12" s="526"/>
      <c r="P12" s="527"/>
    </row>
    <row r="13" spans="1:16" s="472" customFormat="1" ht="13.5" thickBot="1">
      <c r="A13" s="535">
        <v>1</v>
      </c>
      <c r="B13" s="534">
        <v>2</v>
      </c>
      <c r="C13" s="534">
        <v>3</v>
      </c>
      <c r="D13" s="539">
        <v>4</v>
      </c>
      <c r="E13" s="539">
        <v>5</v>
      </c>
      <c r="F13" s="616">
        <v>6</v>
      </c>
      <c r="G13" s="616">
        <v>7</v>
      </c>
      <c r="H13" s="535">
        <v>8</v>
      </c>
      <c r="I13" s="616">
        <v>9</v>
      </c>
      <c r="J13" s="538">
        <v>10</v>
      </c>
      <c r="K13" s="617">
        <v>11</v>
      </c>
      <c r="L13" s="616">
        <v>12</v>
      </c>
      <c r="M13" s="535">
        <v>13</v>
      </c>
      <c r="N13" s="538">
        <v>14</v>
      </c>
      <c r="O13" s="617">
        <v>15</v>
      </c>
      <c r="P13" s="538">
        <v>16</v>
      </c>
    </row>
    <row r="14" spans="1:16" s="472" customFormat="1" ht="12.75">
      <c r="A14" s="541" t="s">
        <v>341</v>
      </c>
      <c r="B14" s="618" t="s">
        <v>904</v>
      </c>
      <c r="C14" s="553">
        <f>SUM(D14:N14)+O14+P14</f>
        <v>42135000</v>
      </c>
      <c r="D14" s="619">
        <f>Bevételek!F21</f>
        <v>42135000</v>
      </c>
      <c r="E14" s="620">
        <v>0</v>
      </c>
      <c r="F14" s="621">
        <v>0</v>
      </c>
      <c r="G14" s="622">
        <v>0</v>
      </c>
      <c r="H14" s="619">
        <v>0</v>
      </c>
      <c r="I14" s="621">
        <v>0</v>
      </c>
      <c r="J14" s="623">
        <v>0</v>
      </c>
      <c r="K14" s="624">
        <v>0</v>
      </c>
      <c r="L14" s="625">
        <v>0</v>
      </c>
      <c r="M14" s="626">
        <v>0</v>
      </c>
      <c r="N14" s="627">
        <f>'[3]BFeladat'!D$90</f>
        <v>0</v>
      </c>
      <c r="O14" s="620">
        <v>0</v>
      </c>
      <c r="P14" s="623"/>
    </row>
    <row r="15" spans="1:16" s="472" customFormat="1" ht="12.75">
      <c r="A15" s="541" t="s">
        <v>342</v>
      </c>
      <c r="B15" s="542" t="s">
        <v>356</v>
      </c>
      <c r="C15" s="553">
        <f>SUM(D15:N15)+O15+P15</f>
        <v>42965000</v>
      </c>
      <c r="D15" s="619">
        <v>0</v>
      </c>
      <c r="E15" s="620">
        <v>0</v>
      </c>
      <c r="F15" s="621">
        <v>0</v>
      </c>
      <c r="G15" s="622">
        <v>0</v>
      </c>
      <c r="H15" s="619">
        <v>0</v>
      </c>
      <c r="I15" s="621">
        <v>0</v>
      </c>
      <c r="J15" s="623">
        <v>0</v>
      </c>
      <c r="K15" s="624">
        <v>0</v>
      </c>
      <c r="L15" s="625">
        <v>0</v>
      </c>
      <c r="M15" s="626">
        <v>0</v>
      </c>
      <c r="N15" s="627">
        <f>Bevételek!N21</f>
        <v>42965000</v>
      </c>
      <c r="O15" s="628"/>
      <c r="P15" s="546"/>
    </row>
    <row r="16" spans="1:16" s="472" customFormat="1" ht="12.75">
      <c r="A16" s="556"/>
      <c r="B16" s="557" t="s">
        <v>1473</v>
      </c>
      <c r="C16" s="558">
        <f>SUM(C14:C15)</f>
        <v>85100000</v>
      </c>
      <c r="D16" s="562">
        <f>SUM(D14:D15)</f>
        <v>42135000</v>
      </c>
      <c r="E16" s="560">
        <f>SUM(E14:E15)</f>
        <v>0</v>
      </c>
      <c r="F16" s="560">
        <v>0</v>
      </c>
      <c r="G16" s="629">
        <v>0</v>
      </c>
      <c r="H16" s="559">
        <v>0</v>
      </c>
      <c r="I16" s="560">
        <v>0</v>
      </c>
      <c r="J16" s="561">
        <v>0</v>
      </c>
      <c r="K16" s="630">
        <v>0</v>
      </c>
      <c r="L16" s="631">
        <v>0</v>
      </c>
      <c r="M16" s="632">
        <v>0</v>
      </c>
      <c r="N16" s="633">
        <f>SUM(N14:N15)</f>
        <v>42965000</v>
      </c>
      <c r="O16" s="634">
        <f>SUM(O14:O15)</f>
        <v>0</v>
      </c>
      <c r="P16" s="633">
        <f>SUM(P14:P15)</f>
        <v>0</v>
      </c>
    </row>
    <row r="17" spans="1:16" s="472" customFormat="1" ht="12.75">
      <c r="A17" s="541" t="s">
        <v>345</v>
      </c>
      <c r="B17" s="542" t="s">
        <v>906</v>
      </c>
      <c r="C17" s="553">
        <f>SUM(D17:N17)+O17+P17</f>
        <v>9298000</v>
      </c>
      <c r="D17" s="635">
        <v>0</v>
      </c>
      <c r="E17" s="621">
        <v>0</v>
      </c>
      <c r="F17" s="621">
        <v>0</v>
      </c>
      <c r="G17" s="622">
        <v>0</v>
      </c>
      <c r="H17" s="619">
        <v>0</v>
      </c>
      <c r="I17" s="621">
        <v>0</v>
      </c>
      <c r="J17" s="623">
        <v>0</v>
      </c>
      <c r="K17" s="624">
        <v>0</v>
      </c>
      <c r="L17" s="625">
        <v>0</v>
      </c>
      <c r="M17" s="626">
        <v>0</v>
      </c>
      <c r="N17" s="627">
        <f>Bevételek!Y21</f>
        <v>9298000</v>
      </c>
      <c r="O17" s="628"/>
      <c r="P17" s="546"/>
    </row>
    <row r="18" spans="1:16" s="472" customFormat="1" ht="12.75">
      <c r="A18" s="541" t="s">
        <v>347</v>
      </c>
      <c r="B18" s="542" t="s">
        <v>1336</v>
      </c>
      <c r="C18" s="553">
        <f>SUM(D18:N18)+O18+P18</f>
        <v>29802000</v>
      </c>
      <c r="D18" s="635">
        <v>0</v>
      </c>
      <c r="E18" s="621">
        <v>0</v>
      </c>
      <c r="F18" s="621">
        <v>0</v>
      </c>
      <c r="G18" s="622">
        <v>0</v>
      </c>
      <c r="H18" s="619">
        <v>0</v>
      </c>
      <c r="I18" s="621">
        <v>0</v>
      </c>
      <c r="J18" s="623">
        <v>0</v>
      </c>
      <c r="K18" s="624">
        <v>0</v>
      </c>
      <c r="L18" s="625">
        <v>0</v>
      </c>
      <c r="M18" s="626">
        <v>0</v>
      </c>
      <c r="N18" s="627">
        <f>Bevételek!T21</f>
        <v>29802000</v>
      </c>
      <c r="O18" s="628"/>
      <c r="P18" s="546"/>
    </row>
    <row r="19" spans="1:16" s="567" customFormat="1" ht="12.75">
      <c r="A19" s="556"/>
      <c r="B19" s="557" t="s">
        <v>1474</v>
      </c>
      <c r="C19" s="558">
        <f>SUM(C17:C18)</f>
        <v>39100000</v>
      </c>
      <c r="D19" s="562">
        <f>SUM(D17:D18)</f>
        <v>0</v>
      </c>
      <c r="E19" s="560">
        <f>SUM(E17:E18)</f>
        <v>0</v>
      </c>
      <c r="F19" s="560">
        <v>0</v>
      </c>
      <c r="G19" s="629">
        <v>0</v>
      </c>
      <c r="H19" s="559">
        <v>0</v>
      </c>
      <c r="I19" s="560">
        <v>0</v>
      </c>
      <c r="J19" s="561">
        <v>0</v>
      </c>
      <c r="K19" s="630">
        <v>0</v>
      </c>
      <c r="L19" s="631">
        <v>0</v>
      </c>
      <c r="M19" s="632">
        <v>0</v>
      </c>
      <c r="N19" s="633">
        <f>SUM(N17:N18)</f>
        <v>39100000</v>
      </c>
      <c r="O19" s="636">
        <f>SUM(O17:O18)</f>
        <v>0</v>
      </c>
      <c r="P19" s="561">
        <f>SUM(P17:P18)</f>
        <v>0</v>
      </c>
    </row>
    <row r="20" spans="1:16" s="472" customFormat="1" ht="12.75">
      <c r="A20" s="541" t="s">
        <v>348</v>
      </c>
      <c r="B20" s="572" t="s">
        <v>907</v>
      </c>
      <c r="C20" s="553">
        <f>SUM(D20:N20)+O20+P20</f>
        <v>114170000</v>
      </c>
      <c r="D20" s="635">
        <v>0</v>
      </c>
      <c r="E20" s="621">
        <v>0</v>
      </c>
      <c r="F20" s="621">
        <v>0</v>
      </c>
      <c r="G20" s="622">
        <v>0</v>
      </c>
      <c r="H20" s="619">
        <v>0</v>
      </c>
      <c r="I20" s="621">
        <v>0</v>
      </c>
      <c r="J20" s="623">
        <v>0</v>
      </c>
      <c r="K20" s="624">
        <v>0</v>
      </c>
      <c r="L20" s="625">
        <v>0</v>
      </c>
      <c r="M20" s="626">
        <v>0</v>
      </c>
      <c r="N20" s="627">
        <f>Bevételek!AJ21</f>
        <v>101430000</v>
      </c>
      <c r="O20" s="628">
        <f>Bevételek!AJ20</f>
        <v>12740000</v>
      </c>
      <c r="P20" s="546"/>
    </row>
    <row r="21" spans="1:16" s="472" customFormat="1" ht="12.75">
      <c r="A21" s="541" t="s">
        <v>349</v>
      </c>
      <c r="B21" s="572" t="s">
        <v>908</v>
      </c>
      <c r="C21" s="553">
        <f>SUM(D21:N21)+O21+P21</f>
        <v>89580000</v>
      </c>
      <c r="D21" s="635">
        <v>0</v>
      </c>
      <c r="E21" s="621">
        <v>0</v>
      </c>
      <c r="F21" s="621">
        <v>0</v>
      </c>
      <c r="G21" s="622">
        <v>0</v>
      </c>
      <c r="H21" s="619">
        <v>0</v>
      </c>
      <c r="I21" s="621">
        <v>0</v>
      </c>
      <c r="J21" s="623">
        <v>0</v>
      </c>
      <c r="K21" s="624">
        <v>0</v>
      </c>
      <c r="L21" s="625">
        <v>0</v>
      </c>
      <c r="M21" s="626">
        <v>0</v>
      </c>
      <c r="N21" s="627">
        <f>Bevételek!AE21</f>
        <v>102320000</v>
      </c>
      <c r="O21" s="628">
        <f>Bevételek!AE20</f>
        <v>-12740000</v>
      </c>
      <c r="P21" s="546"/>
    </row>
    <row r="22" spans="1:16" s="567" customFormat="1" ht="13.5" thickBot="1">
      <c r="A22" s="556"/>
      <c r="B22" s="573" t="s">
        <v>1475</v>
      </c>
      <c r="C22" s="574">
        <f>SUM(C20:C21)</f>
        <v>203750000</v>
      </c>
      <c r="D22" s="578">
        <f>SUM(D20:D21)</f>
        <v>0</v>
      </c>
      <c r="E22" s="637">
        <f>SUM(E20:E21)</f>
        <v>0</v>
      </c>
      <c r="F22" s="576">
        <v>0</v>
      </c>
      <c r="G22" s="638">
        <v>0</v>
      </c>
      <c r="H22" s="579">
        <v>0</v>
      </c>
      <c r="I22" s="637">
        <v>0</v>
      </c>
      <c r="J22" s="580">
        <v>0</v>
      </c>
      <c r="K22" s="639">
        <v>0</v>
      </c>
      <c r="L22" s="640">
        <v>0</v>
      </c>
      <c r="M22" s="641">
        <v>0</v>
      </c>
      <c r="N22" s="642">
        <f>SUM(N20:N21)</f>
        <v>203750000</v>
      </c>
      <c r="O22" s="643">
        <f>SUM(O20:O21)</f>
        <v>0</v>
      </c>
      <c r="P22" s="577">
        <f>SUM(P20:P21)</f>
        <v>0</v>
      </c>
    </row>
    <row r="23" spans="1:16" s="567" customFormat="1" ht="13.5" thickBot="1">
      <c r="A23" s="584"/>
      <c r="B23" s="585" t="s">
        <v>1476</v>
      </c>
      <c r="C23" s="644">
        <f aca="true" t="shared" si="0" ref="C23:P23">C22+C19+C16</f>
        <v>327950000</v>
      </c>
      <c r="D23" s="645">
        <f t="shared" si="0"/>
        <v>42135000</v>
      </c>
      <c r="E23" s="645">
        <f t="shared" si="0"/>
        <v>0</v>
      </c>
      <c r="F23" s="646">
        <f t="shared" si="0"/>
        <v>0</v>
      </c>
      <c r="G23" s="647">
        <f t="shared" si="0"/>
        <v>0</v>
      </c>
      <c r="H23" s="645">
        <f t="shared" si="0"/>
        <v>0</v>
      </c>
      <c r="I23" s="646">
        <f t="shared" si="0"/>
        <v>0</v>
      </c>
      <c r="J23" s="647">
        <f t="shared" si="0"/>
        <v>0</v>
      </c>
      <c r="K23" s="648">
        <f t="shared" si="0"/>
        <v>0</v>
      </c>
      <c r="L23" s="649">
        <f t="shared" si="0"/>
        <v>0</v>
      </c>
      <c r="M23" s="648">
        <f t="shared" si="0"/>
        <v>0</v>
      </c>
      <c r="N23" s="649">
        <f t="shared" si="0"/>
        <v>285815000</v>
      </c>
      <c r="O23" s="645">
        <f t="shared" si="0"/>
        <v>0</v>
      </c>
      <c r="P23" s="647">
        <f t="shared" si="0"/>
        <v>0</v>
      </c>
    </row>
    <row r="26" ht="15">
      <c r="B26" s="6" t="s">
        <v>1543</v>
      </c>
    </row>
    <row r="27" ht="15">
      <c r="B27" s="16"/>
    </row>
    <row r="28" ht="15">
      <c r="B28" s="16"/>
    </row>
    <row r="29" spans="2:9" ht="15">
      <c r="B29" s="651" t="s">
        <v>909</v>
      </c>
      <c r="I29" s="1" t="s">
        <v>1335</v>
      </c>
    </row>
  </sheetData>
  <sheetProtection/>
  <mergeCells count="6">
    <mergeCell ref="A2:P2"/>
    <mergeCell ref="D5:N5"/>
    <mergeCell ref="O5:P5"/>
    <mergeCell ref="D6:J6"/>
    <mergeCell ref="K6:N6"/>
    <mergeCell ref="A1:P1"/>
  </mergeCells>
  <printOptions/>
  <pageMargins left="0.11811023622047245" right="0.11811023622047245" top="0.7480314960629921" bottom="0.7480314960629921" header="0.31496062992125984" footer="0.31496062992125984"/>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T30"/>
  <sheetViews>
    <sheetView zoomScalePageLayoutView="0" workbookViewId="0" topLeftCell="A1">
      <selection activeCell="Q30" sqref="A1:Q30"/>
    </sheetView>
  </sheetViews>
  <sheetFormatPr defaultColWidth="9.140625" defaultRowHeight="15"/>
  <cols>
    <col min="1" max="1" width="2.57421875" style="1" customWidth="1"/>
    <col min="2" max="2" width="28.57421875" style="1" customWidth="1"/>
    <col min="3" max="3" width="11.140625" style="1" customWidth="1"/>
    <col min="4" max="4" width="10.421875" style="1" customWidth="1"/>
    <col min="5" max="5" width="11.7109375" style="1" customWidth="1"/>
    <col min="6" max="6" width="11.140625" style="1" customWidth="1"/>
    <col min="7" max="7" width="8.00390625" style="1" customWidth="1"/>
    <col min="8" max="8" width="7.7109375" style="1" customWidth="1"/>
    <col min="9" max="9" width="10.00390625" style="1" customWidth="1"/>
    <col min="10" max="10" width="9.00390625" style="1" customWidth="1"/>
    <col min="11" max="11" width="11.00390625" style="1" customWidth="1"/>
    <col min="12" max="12" width="10.7109375" style="1" customWidth="1"/>
    <col min="13" max="13" width="9.57421875" style="1" customWidth="1"/>
    <col min="14" max="14" width="9.8515625" style="1" customWidth="1"/>
    <col min="15" max="17" width="6.140625" style="1" customWidth="1"/>
    <col min="18" max="18" width="23.140625" style="1" customWidth="1"/>
    <col min="19" max="16384" width="9.140625" style="1" customWidth="1"/>
  </cols>
  <sheetData>
    <row r="1" spans="1:17" s="472" customFormat="1" ht="12.75">
      <c r="A1" s="707" t="s">
        <v>1432</v>
      </c>
      <c r="B1" s="707"/>
      <c r="C1" s="707"/>
      <c r="D1" s="707"/>
      <c r="E1" s="707"/>
      <c r="F1" s="707"/>
      <c r="G1" s="707"/>
      <c r="H1" s="707"/>
      <c r="I1" s="707"/>
      <c r="J1" s="707"/>
      <c r="K1" s="707"/>
      <c r="L1" s="707"/>
      <c r="M1" s="707"/>
      <c r="N1" s="707"/>
      <c r="O1" s="707"/>
      <c r="P1" s="707"/>
      <c r="Q1" s="707"/>
    </row>
    <row r="2" spans="1:19" s="472" customFormat="1" ht="12.75">
      <c r="A2" s="707" t="s">
        <v>1546</v>
      </c>
      <c r="B2" s="707"/>
      <c r="C2" s="707"/>
      <c r="D2" s="707"/>
      <c r="E2" s="707"/>
      <c r="F2" s="707"/>
      <c r="G2" s="707"/>
      <c r="H2" s="707"/>
      <c r="I2" s="707"/>
      <c r="J2" s="707"/>
      <c r="K2" s="707"/>
      <c r="L2" s="707"/>
      <c r="M2" s="707"/>
      <c r="N2" s="707"/>
      <c r="O2" s="707"/>
      <c r="P2" s="707"/>
      <c r="Q2" s="707"/>
      <c r="R2" s="473"/>
      <c r="S2" s="474"/>
    </row>
    <row r="3" spans="1:19" s="472" customFormat="1" ht="12.75">
      <c r="A3" s="475"/>
      <c r="B3" s="473"/>
      <c r="C3" s="473"/>
      <c r="D3" s="473"/>
      <c r="E3" s="473"/>
      <c r="F3" s="473"/>
      <c r="G3" s="473"/>
      <c r="H3" s="476" t="s">
        <v>1433</v>
      </c>
      <c r="I3" s="473"/>
      <c r="J3" s="473"/>
      <c r="K3" s="473"/>
      <c r="L3" s="473"/>
      <c r="M3" s="473"/>
      <c r="N3" s="477"/>
      <c r="O3" s="473"/>
      <c r="P3" s="473"/>
      <c r="Q3" s="473"/>
      <c r="R3" s="473"/>
      <c r="S3" s="474"/>
    </row>
    <row r="4" spans="1:19" s="472" customFormat="1" ht="13.5" thickBot="1">
      <c r="A4" s="475"/>
      <c r="B4" s="473"/>
      <c r="C4" s="473"/>
      <c r="D4" s="473"/>
      <c r="E4" s="478"/>
      <c r="F4" s="473"/>
      <c r="G4" s="473"/>
      <c r="H4" s="473"/>
      <c r="I4" s="473"/>
      <c r="J4" s="473"/>
      <c r="K4" s="473"/>
      <c r="L4" s="473"/>
      <c r="M4" s="473"/>
      <c r="N4" s="476"/>
      <c r="O4" s="473"/>
      <c r="P4" s="473"/>
      <c r="Q4" s="479" t="s">
        <v>1344</v>
      </c>
      <c r="R4" s="473"/>
      <c r="S4" s="474"/>
    </row>
    <row r="5" spans="1:17" s="472" customFormat="1" ht="13.5" thickBot="1">
      <c r="A5" s="480"/>
      <c r="B5" s="481"/>
      <c r="C5" s="482"/>
      <c r="D5" s="709" t="s">
        <v>1434</v>
      </c>
      <c r="E5" s="709"/>
      <c r="F5" s="709"/>
      <c r="G5" s="709"/>
      <c r="H5" s="709"/>
      <c r="I5" s="709"/>
      <c r="J5" s="709"/>
      <c r="K5" s="709"/>
      <c r="L5" s="483"/>
      <c r="M5" s="484" t="s">
        <v>1508</v>
      </c>
      <c r="N5" s="485"/>
      <c r="O5" s="486"/>
      <c r="P5" s="487"/>
      <c r="Q5" s="488"/>
    </row>
    <row r="6" spans="1:17" s="472" customFormat="1" ht="13.5" thickBot="1">
      <c r="A6" s="489"/>
      <c r="B6" s="490"/>
      <c r="C6" s="489"/>
      <c r="D6" s="715" t="s">
        <v>1435</v>
      </c>
      <c r="E6" s="715"/>
      <c r="F6" s="715"/>
      <c r="G6" s="715"/>
      <c r="H6" s="715"/>
      <c r="I6" s="716" t="s">
        <v>1436</v>
      </c>
      <c r="J6" s="715"/>
      <c r="K6" s="715"/>
      <c r="L6" s="481"/>
      <c r="M6" s="481"/>
      <c r="N6" s="491"/>
      <c r="O6" s="492"/>
      <c r="P6" s="492"/>
      <c r="Q6" s="493"/>
    </row>
    <row r="7" spans="1:17" s="472" customFormat="1" ht="12.75" customHeight="1">
      <c r="A7" s="494"/>
      <c r="B7" s="495"/>
      <c r="C7" s="496" t="s">
        <v>1437</v>
      </c>
      <c r="D7" s="497"/>
      <c r="E7" s="498" t="s">
        <v>1438</v>
      </c>
      <c r="F7" s="498"/>
      <c r="G7" s="499"/>
      <c r="H7" s="500"/>
      <c r="I7" s="497"/>
      <c r="J7" s="501"/>
      <c r="K7" s="499"/>
      <c r="L7" s="502"/>
      <c r="M7" s="502"/>
      <c r="N7" s="503"/>
      <c r="O7" s="717" t="s">
        <v>1439</v>
      </c>
      <c r="P7" s="717"/>
      <c r="Q7" s="718"/>
    </row>
    <row r="8" spans="1:17" s="472" customFormat="1" ht="13.5" thickBot="1">
      <c r="A8" s="494"/>
      <c r="B8" s="502" t="s">
        <v>1440</v>
      </c>
      <c r="C8" s="496" t="s">
        <v>1441</v>
      </c>
      <c r="D8" s="502" t="s">
        <v>1442</v>
      </c>
      <c r="E8" s="504" t="s">
        <v>1443</v>
      </c>
      <c r="F8" s="504" t="s">
        <v>1444</v>
      </c>
      <c r="G8" s="505" t="s">
        <v>1445</v>
      </c>
      <c r="H8" s="503" t="s">
        <v>1446</v>
      </c>
      <c r="I8" s="502" t="s">
        <v>1447</v>
      </c>
      <c r="J8" s="504" t="s">
        <v>1448</v>
      </c>
      <c r="K8" s="505" t="s">
        <v>1446</v>
      </c>
      <c r="L8" s="502" t="s">
        <v>1449</v>
      </c>
      <c r="M8" s="502" t="s">
        <v>1450</v>
      </c>
      <c r="N8" s="503" t="s">
        <v>1451</v>
      </c>
      <c r="O8" s="506"/>
      <c r="P8" s="506"/>
      <c r="Q8" s="507"/>
    </row>
    <row r="9" spans="1:17" s="472" customFormat="1" ht="12.75">
      <c r="A9" s="508"/>
      <c r="B9" s="502" t="s">
        <v>1452</v>
      </c>
      <c r="C9" s="496" t="s">
        <v>1453</v>
      </c>
      <c r="D9" s="502" t="s">
        <v>1454</v>
      </c>
      <c r="E9" s="504" t="s">
        <v>1455</v>
      </c>
      <c r="F9" s="504" t="s">
        <v>1441</v>
      </c>
      <c r="G9" s="505" t="s">
        <v>1456</v>
      </c>
      <c r="H9" s="503" t="s">
        <v>1457</v>
      </c>
      <c r="I9" s="502"/>
      <c r="J9" s="504"/>
      <c r="K9" s="505" t="s">
        <v>1458</v>
      </c>
      <c r="L9" s="502" t="s">
        <v>1366</v>
      </c>
      <c r="M9" s="502" t="s">
        <v>1459</v>
      </c>
      <c r="N9" s="503" t="s">
        <v>1459</v>
      </c>
      <c r="O9" s="509"/>
      <c r="P9" s="510"/>
      <c r="Q9" s="511"/>
    </row>
    <row r="10" spans="1:17" s="472" customFormat="1" ht="12.75">
      <c r="A10" s="512" t="s">
        <v>1460</v>
      </c>
      <c r="B10" s="502"/>
      <c r="C10" s="513"/>
      <c r="D10" s="490"/>
      <c r="E10" s="504" t="s">
        <v>1461</v>
      </c>
      <c r="F10" s="504"/>
      <c r="G10" s="505" t="s">
        <v>1462</v>
      </c>
      <c r="H10" s="503" t="s">
        <v>1459</v>
      </c>
      <c r="I10" s="490"/>
      <c r="J10" s="514"/>
      <c r="K10" s="505" t="s">
        <v>1459</v>
      </c>
      <c r="L10" s="502"/>
      <c r="M10" s="502"/>
      <c r="N10" s="503"/>
      <c r="O10" s="515" t="s">
        <v>1463</v>
      </c>
      <c r="P10" s="516" t="s">
        <v>1464</v>
      </c>
      <c r="Q10" s="517" t="s">
        <v>1465</v>
      </c>
    </row>
    <row r="11" spans="1:18" s="472" customFormat="1" ht="12.75">
      <c r="A11" s="518"/>
      <c r="B11" s="502"/>
      <c r="C11" s="513"/>
      <c r="D11" s="490"/>
      <c r="E11" s="504" t="s">
        <v>1466</v>
      </c>
      <c r="F11" s="504"/>
      <c r="G11" s="505"/>
      <c r="H11" s="503" t="s">
        <v>1441</v>
      </c>
      <c r="I11" s="519"/>
      <c r="J11" s="520"/>
      <c r="K11" s="505" t="s">
        <v>1441</v>
      </c>
      <c r="L11" s="502"/>
      <c r="M11" s="502"/>
      <c r="N11" s="503"/>
      <c r="O11" s="515" t="s">
        <v>1467</v>
      </c>
      <c r="P11" s="516" t="s">
        <v>1467</v>
      </c>
      <c r="Q11" s="517" t="s">
        <v>1468</v>
      </c>
      <c r="R11" s="472" t="s">
        <v>1469</v>
      </c>
    </row>
    <row r="12" spans="1:17" s="472" customFormat="1" ht="13.5" thickBot="1">
      <c r="A12" s="521"/>
      <c r="B12" s="522"/>
      <c r="C12" s="523"/>
      <c r="D12" s="524"/>
      <c r="E12" s="525" t="s">
        <v>1470</v>
      </c>
      <c r="F12" s="525"/>
      <c r="G12" s="526"/>
      <c r="H12" s="527"/>
      <c r="I12" s="528"/>
      <c r="J12" s="529"/>
      <c r="K12" s="530"/>
      <c r="L12" s="524"/>
      <c r="M12" s="524"/>
      <c r="N12" s="527"/>
      <c r="O12" s="531" t="s">
        <v>1471</v>
      </c>
      <c r="P12" s="532" t="s">
        <v>1471</v>
      </c>
      <c r="Q12" s="533" t="s">
        <v>1472</v>
      </c>
    </row>
    <row r="13" spans="1:17" s="472" customFormat="1" ht="13.5" thickBot="1">
      <c r="A13" s="534">
        <v>1</v>
      </c>
      <c r="B13" s="535">
        <v>2</v>
      </c>
      <c r="C13" s="534">
        <v>3</v>
      </c>
      <c r="D13" s="536">
        <v>4</v>
      </c>
      <c r="E13" s="537">
        <v>5</v>
      </c>
      <c r="F13" s="537">
        <v>6</v>
      </c>
      <c r="G13" s="537">
        <v>7</v>
      </c>
      <c r="H13" s="538">
        <v>8</v>
      </c>
      <c r="I13" s="536">
        <v>9</v>
      </c>
      <c r="J13" s="537">
        <v>10</v>
      </c>
      <c r="K13" s="538">
        <v>11</v>
      </c>
      <c r="L13" s="535">
        <v>12</v>
      </c>
      <c r="M13" s="535">
        <v>13</v>
      </c>
      <c r="N13" s="538">
        <v>14</v>
      </c>
      <c r="O13" s="539">
        <v>15</v>
      </c>
      <c r="P13" s="540">
        <v>16</v>
      </c>
      <c r="Q13" s="540">
        <v>17</v>
      </c>
    </row>
    <row r="14" spans="1:20" s="472" customFormat="1" ht="12.75">
      <c r="A14" s="541" t="s">
        <v>341</v>
      </c>
      <c r="B14" s="542" t="s">
        <v>904</v>
      </c>
      <c r="C14" s="543">
        <f>SUM(D14:N14)</f>
        <v>42135000</v>
      </c>
      <c r="D14" s="544">
        <f>Kiadások!I28</f>
        <v>20420000</v>
      </c>
      <c r="E14" s="545">
        <f>Kiadások!I29</f>
        <v>4131000</v>
      </c>
      <c r="F14" s="545">
        <f>Kiadások!I54</f>
        <v>17284000</v>
      </c>
      <c r="G14" s="548">
        <v>0</v>
      </c>
      <c r="H14" s="548">
        <v>0</v>
      </c>
      <c r="I14" s="547">
        <f>Kiadások!I88</f>
        <v>300000</v>
      </c>
      <c r="J14" s="548">
        <v>0</v>
      </c>
      <c r="K14" s="548">
        <v>0</v>
      </c>
      <c r="L14" s="548">
        <v>0</v>
      </c>
      <c r="M14" s="544">
        <v>0</v>
      </c>
      <c r="N14" s="548">
        <v>0</v>
      </c>
      <c r="O14" s="549">
        <v>17</v>
      </c>
      <c r="P14" s="550"/>
      <c r="Q14" s="551"/>
      <c r="R14" s="552"/>
      <c r="S14" s="552"/>
      <c r="T14" s="552"/>
    </row>
    <row r="15" spans="1:20" s="472" customFormat="1" ht="12.75">
      <c r="A15" s="541" t="s">
        <v>342</v>
      </c>
      <c r="B15" s="542" t="s">
        <v>356</v>
      </c>
      <c r="C15" s="553">
        <f>SUM(D15:N15)</f>
        <v>42965000</v>
      </c>
      <c r="D15" s="544">
        <f>Kiadások!N28</f>
        <v>31485000</v>
      </c>
      <c r="E15" s="545">
        <f>Kiadások!N29</f>
        <v>5810000</v>
      </c>
      <c r="F15" s="545">
        <f>Kiadások!N54</f>
        <v>4968000</v>
      </c>
      <c r="G15" s="546">
        <v>0</v>
      </c>
      <c r="H15" s="546">
        <v>0</v>
      </c>
      <c r="I15" s="547">
        <f>Kiadások!N88</f>
        <v>702000</v>
      </c>
      <c r="J15" s="546">
        <v>0</v>
      </c>
      <c r="K15" s="546">
        <v>0</v>
      </c>
      <c r="L15" s="546">
        <v>0</v>
      </c>
      <c r="M15" s="544"/>
      <c r="N15" s="546">
        <v>0</v>
      </c>
      <c r="O15" s="554">
        <v>7</v>
      </c>
      <c r="P15" s="550"/>
      <c r="Q15" s="555"/>
      <c r="R15" s="552"/>
      <c r="S15" s="552"/>
      <c r="T15" s="552"/>
    </row>
    <row r="16" spans="1:20" s="567" customFormat="1" ht="12.75">
      <c r="A16" s="556"/>
      <c r="B16" s="557" t="s">
        <v>1473</v>
      </c>
      <c r="C16" s="558">
        <f>SUM(C14:C15)</f>
        <v>85100000</v>
      </c>
      <c r="D16" s="559">
        <f aca="true" t="shared" si="0" ref="D16:Q16">SUM(D14:D15)</f>
        <v>51905000</v>
      </c>
      <c r="E16" s="560">
        <f t="shared" si="0"/>
        <v>9941000</v>
      </c>
      <c r="F16" s="560">
        <f t="shared" si="0"/>
        <v>22252000</v>
      </c>
      <c r="G16" s="561">
        <f>SUM(G14:G15)</f>
        <v>0</v>
      </c>
      <c r="H16" s="561">
        <f>SUM(H14:H15)</f>
        <v>0</v>
      </c>
      <c r="I16" s="562">
        <f t="shared" si="0"/>
        <v>1002000</v>
      </c>
      <c r="J16" s="561">
        <f t="shared" si="0"/>
        <v>0</v>
      </c>
      <c r="K16" s="561">
        <f>SUM(K14:K15)</f>
        <v>0</v>
      </c>
      <c r="L16" s="561">
        <f>SUM(L14:L15)</f>
        <v>0</v>
      </c>
      <c r="M16" s="559">
        <f t="shared" si="0"/>
        <v>0</v>
      </c>
      <c r="N16" s="561">
        <f>SUM(N14:N15)</f>
        <v>0</v>
      </c>
      <c r="O16" s="563">
        <f t="shared" si="0"/>
        <v>24</v>
      </c>
      <c r="P16" s="564">
        <f t="shared" si="0"/>
        <v>0</v>
      </c>
      <c r="Q16" s="565">
        <f t="shared" si="0"/>
        <v>0</v>
      </c>
      <c r="R16" s="566"/>
      <c r="S16" s="566"/>
      <c r="T16" s="566"/>
    </row>
    <row r="17" spans="1:20" s="472" customFormat="1" ht="12.75">
      <c r="A17" s="541" t="s">
        <v>345</v>
      </c>
      <c r="B17" s="542" t="s">
        <v>906</v>
      </c>
      <c r="C17" s="553">
        <f>SUM(D17:N17)</f>
        <v>9298000</v>
      </c>
      <c r="D17" s="544">
        <f>Kiadások!Y28</f>
        <v>4301000</v>
      </c>
      <c r="E17" s="545">
        <f>Kiadások!Y29</f>
        <v>837000</v>
      </c>
      <c r="F17" s="545">
        <f>Kiadások!Y54</f>
        <v>4160000</v>
      </c>
      <c r="G17" s="546">
        <v>0</v>
      </c>
      <c r="H17" s="546">
        <v>0</v>
      </c>
      <c r="I17" s="547">
        <f>'[3]KFeladat'!AJ$87</f>
        <v>0</v>
      </c>
      <c r="J17" s="546">
        <v>0</v>
      </c>
      <c r="K17" s="546">
        <v>0</v>
      </c>
      <c r="L17" s="546">
        <v>0</v>
      </c>
      <c r="M17" s="544"/>
      <c r="N17" s="546">
        <v>0</v>
      </c>
      <c r="O17" s="554">
        <v>1</v>
      </c>
      <c r="P17" s="550"/>
      <c r="Q17" s="555"/>
      <c r="R17" s="552"/>
      <c r="S17" s="552"/>
      <c r="T17" s="552"/>
    </row>
    <row r="18" spans="1:20" s="472" customFormat="1" ht="12.75">
      <c r="A18" s="541" t="s">
        <v>347</v>
      </c>
      <c r="B18" s="542" t="s">
        <v>1336</v>
      </c>
      <c r="C18" s="553">
        <f>SUM(D18:N18)</f>
        <v>29801999.8</v>
      </c>
      <c r="D18" s="544">
        <f>Kiadások!T28</f>
        <v>11531000</v>
      </c>
      <c r="E18" s="568">
        <f>Kiadások!T29</f>
        <v>2082000</v>
      </c>
      <c r="F18" s="545">
        <f>Kiadások!T54</f>
        <v>14176000</v>
      </c>
      <c r="G18" s="546">
        <v>0</v>
      </c>
      <c r="H18" s="546">
        <v>0</v>
      </c>
      <c r="I18" s="547">
        <f>Kiadások!T88</f>
        <v>99999.8</v>
      </c>
      <c r="J18" s="546">
        <f>Kiadások!T93</f>
        <v>889000</v>
      </c>
      <c r="K18" s="546">
        <v>0</v>
      </c>
      <c r="L18" s="546">
        <f>Kiadások!T67</f>
        <v>1024000</v>
      </c>
      <c r="M18" s="544"/>
      <c r="N18" s="546">
        <v>0</v>
      </c>
      <c r="O18" s="554">
        <v>1</v>
      </c>
      <c r="P18" s="569"/>
      <c r="Q18" s="555"/>
      <c r="R18" s="552"/>
      <c r="S18" s="552"/>
      <c r="T18" s="552"/>
    </row>
    <row r="19" spans="1:20" s="567" customFormat="1" ht="12.75">
      <c r="A19" s="556"/>
      <c r="B19" s="557" t="s">
        <v>1474</v>
      </c>
      <c r="C19" s="558">
        <f aca="true" t="shared" si="1" ref="C19:Q19">SUM(C17:C18)</f>
        <v>39099999.8</v>
      </c>
      <c r="D19" s="559">
        <f t="shared" si="1"/>
        <v>15832000</v>
      </c>
      <c r="E19" s="570">
        <f t="shared" si="1"/>
        <v>2919000</v>
      </c>
      <c r="F19" s="560">
        <f t="shared" si="1"/>
        <v>18336000</v>
      </c>
      <c r="G19" s="561">
        <f t="shared" si="1"/>
        <v>0</v>
      </c>
      <c r="H19" s="561">
        <f t="shared" si="1"/>
        <v>0</v>
      </c>
      <c r="I19" s="562">
        <f t="shared" si="1"/>
        <v>99999.8</v>
      </c>
      <c r="J19" s="561">
        <f t="shared" si="1"/>
        <v>889000</v>
      </c>
      <c r="K19" s="561">
        <f t="shared" si="1"/>
        <v>0</v>
      </c>
      <c r="L19" s="561">
        <f t="shared" si="1"/>
        <v>1024000</v>
      </c>
      <c r="M19" s="559">
        <f t="shared" si="1"/>
        <v>0</v>
      </c>
      <c r="N19" s="561">
        <f t="shared" si="1"/>
        <v>0</v>
      </c>
      <c r="O19" s="563">
        <f t="shared" si="1"/>
        <v>2</v>
      </c>
      <c r="P19" s="571">
        <f t="shared" si="1"/>
        <v>0</v>
      </c>
      <c r="Q19" s="565">
        <f t="shared" si="1"/>
        <v>0</v>
      </c>
      <c r="R19" s="566"/>
      <c r="S19" s="566"/>
      <c r="T19" s="566"/>
    </row>
    <row r="20" spans="1:20" s="472" customFormat="1" ht="12.75">
      <c r="A20" s="541" t="s">
        <v>348</v>
      </c>
      <c r="B20" s="572" t="s">
        <v>907</v>
      </c>
      <c r="C20" s="553">
        <f>SUM(D20:N20)</f>
        <v>114170000</v>
      </c>
      <c r="D20" s="544">
        <f>Kiadások!AK28</f>
        <v>83300000</v>
      </c>
      <c r="E20" s="545">
        <f>Kiadások!AK29</f>
        <v>14496000</v>
      </c>
      <c r="F20" s="545">
        <f>Kiadások!AH54-12740000</f>
        <v>3634000</v>
      </c>
      <c r="G20" s="546">
        <v>0</v>
      </c>
      <c r="H20" s="546">
        <v>0</v>
      </c>
      <c r="I20" s="547">
        <f>'[3]KFeladat'!BH$87</f>
        <v>0</v>
      </c>
      <c r="J20" s="546">
        <v>0</v>
      </c>
      <c r="K20" s="546">
        <v>0</v>
      </c>
      <c r="L20" s="546">
        <v>0</v>
      </c>
      <c r="M20" s="544">
        <f>-Kiadások!AI67</f>
        <v>12740000</v>
      </c>
      <c r="N20" s="546">
        <v>0</v>
      </c>
      <c r="O20" s="554">
        <v>21</v>
      </c>
      <c r="P20" s="550"/>
      <c r="Q20" s="555"/>
      <c r="R20" s="552"/>
      <c r="S20" s="552"/>
      <c r="T20" s="552"/>
    </row>
    <row r="21" spans="1:20" s="472" customFormat="1" ht="12.75">
      <c r="A21" s="541" t="s">
        <v>349</v>
      </c>
      <c r="B21" s="572" t="s">
        <v>908</v>
      </c>
      <c r="C21" s="553">
        <f>SUM(D21:N21)</f>
        <v>89580000</v>
      </c>
      <c r="D21" s="544">
        <f>Kiadások!AF28</f>
        <v>58408000</v>
      </c>
      <c r="E21" s="545">
        <f>Kiadások!AF29</f>
        <v>11317000</v>
      </c>
      <c r="F21" s="545">
        <f>Kiadások!AC54-12740000</f>
        <v>4115000</v>
      </c>
      <c r="G21" s="546">
        <v>0</v>
      </c>
      <c r="H21" s="546">
        <v>0</v>
      </c>
      <c r="I21" s="547">
        <f>Kiadások!AF88</f>
        <v>0</v>
      </c>
      <c r="J21" s="546">
        <v>0</v>
      </c>
      <c r="K21" s="546">
        <v>0</v>
      </c>
      <c r="L21" s="546">
        <f>Kiadások!AC67</f>
        <v>3000000</v>
      </c>
      <c r="M21" s="544">
        <f>Kiadások!AD67</f>
        <v>12740000</v>
      </c>
      <c r="N21" s="546">
        <v>0</v>
      </c>
      <c r="O21" s="554">
        <v>11</v>
      </c>
      <c r="P21" s="550"/>
      <c r="Q21" s="555"/>
      <c r="R21" s="552"/>
      <c r="S21" s="552"/>
      <c r="T21" s="552"/>
    </row>
    <row r="22" spans="1:20" s="567" customFormat="1" ht="15.75" customHeight="1" thickBot="1">
      <c r="A22" s="556"/>
      <c r="B22" s="573" t="s">
        <v>1475</v>
      </c>
      <c r="C22" s="574">
        <f>SUM(C20:C21)</f>
        <v>203750000</v>
      </c>
      <c r="D22" s="575">
        <f aca="true" t="shared" si="2" ref="D22:Q22">SUM(D20:D21)</f>
        <v>141708000</v>
      </c>
      <c r="E22" s="576">
        <f t="shared" si="2"/>
        <v>25813000</v>
      </c>
      <c r="F22" s="576">
        <f t="shared" si="2"/>
        <v>7749000</v>
      </c>
      <c r="G22" s="576">
        <f>SUM(G20:G21)</f>
        <v>0</v>
      </c>
      <c r="H22" s="576">
        <f>SUM(H20:H21)</f>
        <v>0</v>
      </c>
      <c r="I22" s="575">
        <f t="shared" si="2"/>
        <v>0</v>
      </c>
      <c r="J22" s="576">
        <f t="shared" si="2"/>
        <v>0</v>
      </c>
      <c r="K22" s="576">
        <f>SUM(K20:K21)</f>
        <v>0</v>
      </c>
      <c r="L22" s="576">
        <f>SUM(L20:L21)</f>
        <v>3000000</v>
      </c>
      <c r="M22" s="579">
        <f t="shared" si="2"/>
        <v>25480000</v>
      </c>
      <c r="N22" s="576">
        <f>SUM(N20:N21)</f>
        <v>0</v>
      </c>
      <c r="O22" s="581">
        <f t="shared" si="2"/>
        <v>32</v>
      </c>
      <c r="P22" s="582">
        <f t="shared" si="2"/>
        <v>0</v>
      </c>
      <c r="Q22" s="583">
        <f t="shared" si="2"/>
        <v>0</v>
      </c>
      <c r="R22" s="566"/>
      <c r="S22" s="566"/>
      <c r="T22" s="566"/>
    </row>
    <row r="23" spans="1:20" s="567" customFormat="1" ht="15" customHeight="1" thickBot="1">
      <c r="A23" s="584"/>
      <c r="B23" s="585" t="s">
        <v>1476</v>
      </c>
      <c r="C23" s="586">
        <f aca="true" t="shared" si="3" ref="C23:Q23">C22+C19+C16</f>
        <v>327949999.8</v>
      </c>
      <c r="D23" s="587">
        <f t="shared" si="3"/>
        <v>209445000</v>
      </c>
      <c r="E23" s="588">
        <f t="shared" si="3"/>
        <v>38673000</v>
      </c>
      <c r="F23" s="588">
        <f t="shared" si="3"/>
        <v>48337000</v>
      </c>
      <c r="G23" s="588">
        <f t="shared" si="3"/>
        <v>0</v>
      </c>
      <c r="H23" s="589">
        <f t="shared" si="3"/>
        <v>0</v>
      </c>
      <c r="I23" s="587">
        <f t="shared" si="3"/>
        <v>1101999.8</v>
      </c>
      <c r="J23" s="588">
        <f t="shared" si="3"/>
        <v>889000</v>
      </c>
      <c r="K23" s="588">
        <f t="shared" si="3"/>
        <v>0</v>
      </c>
      <c r="L23" s="590">
        <f t="shared" si="3"/>
        <v>4024000</v>
      </c>
      <c r="M23" s="587">
        <f t="shared" si="3"/>
        <v>25480000</v>
      </c>
      <c r="N23" s="589">
        <f t="shared" si="3"/>
        <v>0</v>
      </c>
      <c r="O23" s="591">
        <f t="shared" si="3"/>
        <v>58</v>
      </c>
      <c r="P23" s="592">
        <f t="shared" si="3"/>
        <v>0</v>
      </c>
      <c r="Q23" s="593">
        <f t="shared" si="3"/>
        <v>0</v>
      </c>
      <c r="R23" s="566"/>
      <c r="S23" s="566"/>
      <c r="T23" s="566"/>
    </row>
    <row r="26" ht="15">
      <c r="B26" s="6" t="s">
        <v>1543</v>
      </c>
    </row>
    <row r="27" ht="15">
      <c r="B27" s="16"/>
    </row>
    <row r="28" ht="15">
      <c r="B28" s="16"/>
    </row>
    <row r="29" s="664" customFormat="1" ht="15">
      <c r="B29" s="16"/>
    </row>
    <row r="30" spans="2:9" ht="15">
      <c r="B30" s="651" t="s">
        <v>909</v>
      </c>
      <c r="I30" s="1" t="s">
        <v>1335</v>
      </c>
    </row>
  </sheetData>
  <sheetProtection/>
  <mergeCells count="6">
    <mergeCell ref="D6:H6"/>
    <mergeCell ref="I6:K6"/>
    <mergeCell ref="O7:Q7"/>
    <mergeCell ref="A1:Q1"/>
    <mergeCell ref="A2:Q2"/>
    <mergeCell ref="D5:K5"/>
  </mergeCells>
  <printOptions/>
  <pageMargins left="0.11811023622047245" right="0.11811023622047245" top="0.7480314960629921" bottom="0.7480314960629921" header="0.31496062992125984" footer="0.31496062992125984"/>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L21" sqref="A1:L21"/>
    </sheetView>
  </sheetViews>
  <sheetFormatPr defaultColWidth="9.140625" defaultRowHeight="15"/>
  <cols>
    <col min="1" max="1" width="65.421875" style="1" customWidth="1"/>
    <col min="2" max="8" width="12.421875" style="2" customWidth="1"/>
    <col min="9" max="9" width="12.421875" style="64" customWidth="1"/>
    <col min="10" max="10" width="12.421875" style="2" customWidth="1"/>
    <col min="11" max="11" width="12.421875" style="65" customWidth="1"/>
    <col min="12" max="12" width="6.00390625" style="1" customWidth="1"/>
    <col min="13" max="16384" width="9.140625" style="1" customWidth="1"/>
  </cols>
  <sheetData>
    <row r="1" ht="22.5">
      <c r="A1" s="63" t="s">
        <v>883</v>
      </c>
    </row>
    <row r="3" ht="15.75">
      <c r="A3" s="66" t="s">
        <v>1538</v>
      </c>
    </row>
    <row r="4" ht="15">
      <c r="K4" s="680" t="s">
        <v>1340</v>
      </c>
    </row>
    <row r="5" spans="1:12" s="73" customFormat="1" ht="172.5" customHeight="1">
      <c r="A5" s="67" t="s">
        <v>884</v>
      </c>
      <c r="B5" s="68" t="s">
        <v>885</v>
      </c>
      <c r="C5" s="69" t="s">
        <v>396</v>
      </c>
      <c r="D5" s="69" t="s">
        <v>402</v>
      </c>
      <c r="E5" s="69" t="s">
        <v>414</v>
      </c>
      <c r="F5" s="69" t="s">
        <v>420</v>
      </c>
      <c r="G5" s="69" t="s">
        <v>886</v>
      </c>
      <c r="H5" s="70" t="s">
        <v>426</v>
      </c>
      <c r="I5" s="71" t="s">
        <v>887</v>
      </c>
      <c r="J5" s="72" t="s">
        <v>888</v>
      </c>
      <c r="K5" s="71" t="s">
        <v>889</v>
      </c>
      <c r="L5" s="71" t="s">
        <v>1513</v>
      </c>
    </row>
    <row r="6" spans="1:12" ht="15">
      <c r="A6" s="74" t="s">
        <v>890</v>
      </c>
      <c r="B6" s="8">
        <f>Kiadások!I10</f>
        <v>11820000</v>
      </c>
      <c r="C6" s="8">
        <f>Kiadások!I16</f>
        <v>400000</v>
      </c>
      <c r="D6" s="8">
        <f>Kiadások!I18</f>
        <v>360000</v>
      </c>
      <c r="E6" s="8">
        <f>Kiadások!I22</f>
        <v>0</v>
      </c>
      <c r="F6" s="8">
        <f>Kiadások!I24</f>
        <v>4320000</v>
      </c>
      <c r="G6" s="8">
        <f>Kiadások!I25</f>
        <v>2800000</v>
      </c>
      <c r="H6" s="8">
        <f>Kiadások!I26</f>
        <v>720000</v>
      </c>
      <c r="I6" s="75">
        <f>SUM(B6:H6)</f>
        <v>20420000</v>
      </c>
      <c r="J6" s="8">
        <f>Kiadások!I29</f>
        <v>4131000</v>
      </c>
      <c r="K6" s="75">
        <f>I6+J6</f>
        <v>24551000</v>
      </c>
      <c r="L6" s="655">
        <v>17</v>
      </c>
    </row>
    <row r="7" spans="1:12" ht="15">
      <c r="A7" s="74" t="s">
        <v>891</v>
      </c>
      <c r="B7" s="8">
        <f>Kiadások!N10</f>
        <v>29542000</v>
      </c>
      <c r="C7" s="8">
        <f>Kiadások!N16</f>
        <v>583000</v>
      </c>
      <c r="D7" s="8">
        <f>Kiadások!N18</f>
        <v>1060000</v>
      </c>
      <c r="E7" s="8">
        <f>Kiadások!N22</f>
        <v>0</v>
      </c>
      <c r="F7" s="8">
        <f>Kiadások!N24</f>
        <v>0</v>
      </c>
      <c r="G7" s="8">
        <f>Kiadások!N25</f>
        <v>0</v>
      </c>
      <c r="H7" s="8">
        <f>Kiadások!N26</f>
        <v>300000</v>
      </c>
      <c r="I7" s="75">
        <f>SUM(B7:H7)</f>
        <v>31485000</v>
      </c>
      <c r="J7" s="8">
        <f>Kiadások!N29</f>
        <v>5810000</v>
      </c>
      <c r="K7" s="75">
        <f aca="true" t="shared" si="0" ref="K7:K13">I7+J7</f>
        <v>37295000</v>
      </c>
      <c r="L7" s="655">
        <v>7</v>
      </c>
    </row>
    <row r="8" spans="2:12" s="676" customFormat="1" ht="15">
      <c r="B8" s="2"/>
      <c r="C8" s="2"/>
      <c r="D8" s="2"/>
      <c r="E8" s="2"/>
      <c r="F8" s="2"/>
      <c r="G8" s="2"/>
      <c r="H8" s="2"/>
      <c r="I8" s="64"/>
      <c r="J8" s="2"/>
      <c r="K8" s="64"/>
      <c r="L8" s="656"/>
    </row>
    <row r="9" spans="1:12" ht="15">
      <c r="A9" s="74" t="s">
        <v>892</v>
      </c>
      <c r="B9" s="8">
        <f>Kiadások!Y10</f>
        <v>4101000</v>
      </c>
      <c r="C9" s="8">
        <f>Kiadások!Y16</f>
        <v>200000</v>
      </c>
      <c r="D9" s="8">
        <v>0</v>
      </c>
      <c r="E9" s="8">
        <f>Kiadások!Y22</f>
        <v>0</v>
      </c>
      <c r="F9" s="8">
        <v>0</v>
      </c>
      <c r="G9" s="8">
        <f>Kiadások!Y27</f>
        <v>0</v>
      </c>
      <c r="H9" s="8">
        <f>Kiadások!Y26</f>
        <v>0</v>
      </c>
      <c r="I9" s="75">
        <f>SUM(B9:H9)</f>
        <v>4301000</v>
      </c>
      <c r="J9" s="8">
        <f>Kiadások!Y29</f>
        <v>837000</v>
      </c>
      <c r="K9" s="75">
        <f t="shared" si="0"/>
        <v>5138000</v>
      </c>
      <c r="L9" s="655">
        <v>2</v>
      </c>
    </row>
    <row r="10" spans="1:12" ht="15">
      <c r="A10" s="74" t="s">
        <v>1336</v>
      </c>
      <c r="B10" s="8">
        <f>Kiadások!T10</f>
        <v>10747600</v>
      </c>
      <c r="C10" s="8">
        <f>Kiadások!T16</f>
        <v>400000</v>
      </c>
      <c r="D10" s="8">
        <f>Kiadások!T18</f>
        <v>299400</v>
      </c>
      <c r="E10" s="8">
        <f>Kiadások!T22</f>
        <v>0</v>
      </c>
      <c r="F10" s="8">
        <v>0</v>
      </c>
      <c r="G10" s="8">
        <f>Kiadások!T27</f>
        <v>84000</v>
      </c>
      <c r="H10" s="8">
        <f>Kiadások!T26</f>
        <v>0</v>
      </c>
      <c r="I10" s="75">
        <f>SUM(B10:H10)</f>
        <v>11531000</v>
      </c>
      <c r="J10" s="8">
        <f>Kiadások!T29</f>
        <v>2082000</v>
      </c>
      <c r="K10" s="75">
        <f t="shared" si="0"/>
        <v>13613000</v>
      </c>
      <c r="L10" s="655">
        <v>5</v>
      </c>
    </row>
    <row r="11" spans="11:12" ht="15">
      <c r="K11" s="64"/>
      <c r="L11" s="656"/>
    </row>
    <row r="12" spans="1:12" ht="15">
      <c r="A12" s="74" t="s">
        <v>339</v>
      </c>
      <c r="B12" s="8">
        <f>Kiadások!AF10</f>
        <v>47046000</v>
      </c>
      <c r="C12" s="8">
        <f>Kiadások!AF16</f>
        <v>2000000</v>
      </c>
      <c r="D12" s="8">
        <f>Kiadások!AF18</f>
        <v>2714000</v>
      </c>
      <c r="E12" s="8">
        <f>Kiadások!AF22</f>
        <v>0</v>
      </c>
      <c r="F12" s="8">
        <v>0</v>
      </c>
      <c r="G12" s="8">
        <f>Kiadások!AF25</f>
        <v>5452000</v>
      </c>
      <c r="H12" s="8">
        <f>Kiadások!AF26</f>
        <v>1196000</v>
      </c>
      <c r="I12" s="75">
        <f>SUM(B12:H12)</f>
        <v>58408000</v>
      </c>
      <c r="J12" s="8">
        <f>Kiadások!AF29</f>
        <v>11317000</v>
      </c>
      <c r="K12" s="75">
        <f t="shared" si="0"/>
        <v>69725000</v>
      </c>
      <c r="L12" s="655">
        <v>11</v>
      </c>
    </row>
    <row r="13" spans="1:12" ht="15">
      <c r="A13" s="74" t="s">
        <v>893</v>
      </c>
      <c r="B13" s="8">
        <f>Kiadások!AK10</f>
        <v>74403000</v>
      </c>
      <c r="C13" s="8">
        <f>Kiadások!AK16</f>
        <v>2000000</v>
      </c>
      <c r="D13" s="8">
        <f>Kiadások!AK18</f>
        <v>1075000</v>
      </c>
      <c r="E13" s="8">
        <f>Kiadások!AK22</f>
        <v>932000</v>
      </c>
      <c r="F13" s="8">
        <v>0</v>
      </c>
      <c r="G13" s="8">
        <f>Kiadások!AK27</f>
        <v>4890000</v>
      </c>
      <c r="H13" s="8">
        <f>Kiadások!AK26</f>
        <v>0</v>
      </c>
      <c r="I13" s="75">
        <f>SUM(B13:H13)</f>
        <v>83300000</v>
      </c>
      <c r="J13" s="8">
        <f>Kiadások!AK29</f>
        <v>14496000</v>
      </c>
      <c r="K13" s="75">
        <f t="shared" si="0"/>
        <v>97796000</v>
      </c>
      <c r="L13" s="655">
        <v>21</v>
      </c>
    </row>
    <row r="14" ht="15">
      <c r="L14" s="657"/>
    </row>
    <row r="15" spans="1:12" s="3" customFormat="1" ht="15">
      <c r="A15" s="654" t="s">
        <v>1512</v>
      </c>
      <c r="B15" s="155">
        <f>SUM(B6:B13)</f>
        <v>177659600</v>
      </c>
      <c r="C15" s="155">
        <f aca="true" t="shared" si="1" ref="C15:K15">SUM(C6:C13)</f>
        <v>5583000</v>
      </c>
      <c r="D15" s="155">
        <f t="shared" si="1"/>
        <v>5508400</v>
      </c>
      <c r="E15" s="155">
        <f t="shared" si="1"/>
        <v>932000</v>
      </c>
      <c r="F15" s="155">
        <f t="shared" si="1"/>
        <v>4320000</v>
      </c>
      <c r="G15" s="155">
        <f t="shared" si="1"/>
        <v>13226000</v>
      </c>
      <c r="H15" s="155">
        <f t="shared" si="1"/>
        <v>2216000</v>
      </c>
      <c r="I15" s="155">
        <f t="shared" si="1"/>
        <v>209445000</v>
      </c>
      <c r="J15" s="155">
        <f t="shared" si="1"/>
        <v>38673000</v>
      </c>
      <c r="K15" s="155">
        <f t="shared" si="1"/>
        <v>248118000</v>
      </c>
      <c r="L15" s="658">
        <f>SUM(L6:L13)</f>
        <v>63</v>
      </c>
    </row>
    <row r="18" spans="1:11" ht="15">
      <c r="A18" s="6" t="s">
        <v>1543</v>
      </c>
      <c r="B18" s="1"/>
      <c r="C18" s="1"/>
      <c r="D18" s="1"/>
      <c r="E18" s="1"/>
      <c r="F18" s="1"/>
      <c r="G18" s="1"/>
      <c r="H18" s="1"/>
      <c r="J18" s="64"/>
      <c r="K18" s="64"/>
    </row>
    <row r="19" spans="1:8" ht="15">
      <c r="A19" s="16"/>
      <c r="B19" s="1"/>
      <c r="C19" s="1"/>
      <c r="D19" s="1"/>
      <c r="E19" s="1"/>
      <c r="F19" s="1"/>
      <c r="G19" s="1"/>
      <c r="H19" s="1"/>
    </row>
    <row r="20" spans="1:8" ht="15">
      <c r="A20" s="16"/>
      <c r="B20" s="1"/>
      <c r="C20" s="1"/>
      <c r="D20" s="1"/>
      <c r="E20" s="1"/>
      <c r="F20" s="1"/>
      <c r="G20" s="1"/>
      <c r="H20" s="1"/>
    </row>
    <row r="21" spans="1:8" ht="15">
      <c r="A21" s="651" t="s">
        <v>909</v>
      </c>
      <c r="B21" s="1"/>
      <c r="C21" s="1"/>
      <c r="D21" s="1"/>
      <c r="E21" s="1"/>
      <c r="F21" s="1"/>
      <c r="G21" s="1"/>
      <c r="H21" s="1" t="s">
        <v>1335</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6" r:id="rId1"/>
</worksheet>
</file>

<file path=xl/worksheets/sheet7.xml><?xml version="1.0" encoding="utf-8"?>
<worksheet xmlns="http://schemas.openxmlformats.org/spreadsheetml/2006/main" xmlns:r="http://schemas.openxmlformats.org/officeDocument/2006/relationships">
  <dimension ref="A1:K361"/>
  <sheetViews>
    <sheetView zoomScalePageLayoutView="0" workbookViewId="0" topLeftCell="A330">
      <selection activeCell="J361" sqref="A327:J361"/>
    </sheetView>
  </sheetViews>
  <sheetFormatPr defaultColWidth="9.140625" defaultRowHeight="15"/>
  <cols>
    <col min="1" max="1" width="5.8515625" style="391" customWidth="1"/>
    <col min="2" max="2" width="43.421875" style="396" customWidth="1"/>
    <col min="3" max="3" width="12.28125" style="397" customWidth="1"/>
    <col min="4" max="4" width="12.28125" style="397" hidden="1" customWidth="1"/>
    <col min="5" max="5" width="13.28125" style="397" hidden="1" customWidth="1"/>
    <col min="6" max="6" width="43.421875" style="391" customWidth="1"/>
    <col min="7" max="7" width="12.7109375" style="391" customWidth="1"/>
    <col min="8" max="8" width="12.57421875" style="391" hidden="1" customWidth="1"/>
    <col min="9" max="9" width="12.8515625" style="391" hidden="1" customWidth="1"/>
    <col min="10" max="10" width="4.140625" style="464" customWidth="1"/>
    <col min="11" max="11" width="8.00390625" style="395" hidden="1" customWidth="1"/>
    <col min="12" max="12" width="9.57421875" style="391" bestFit="1" customWidth="1"/>
    <col min="13" max="16384" width="9.140625" style="391" customWidth="1"/>
  </cols>
  <sheetData>
    <row r="1" spans="2:10" ht="39.75" customHeight="1">
      <c r="B1" s="392" t="s">
        <v>1363</v>
      </c>
      <c r="C1" s="393"/>
      <c r="D1" s="393"/>
      <c r="E1" s="393"/>
      <c r="F1" s="394"/>
      <c r="G1" s="394"/>
      <c r="H1" s="394"/>
      <c r="I1" s="394"/>
      <c r="J1" s="719" t="s">
        <v>1547</v>
      </c>
    </row>
    <row r="2" spans="7:10" ht="15.75" thickBot="1">
      <c r="G2" s="398"/>
      <c r="H2" s="398"/>
      <c r="I2" s="398" t="s">
        <v>1364</v>
      </c>
      <c r="J2" s="719"/>
    </row>
    <row r="3" spans="1:10" ht="18" customHeight="1" thickBot="1">
      <c r="A3" s="720" t="s">
        <v>373</v>
      </c>
      <c r="B3" s="399" t="s">
        <v>1365</v>
      </c>
      <c r="C3" s="400"/>
      <c r="D3" s="400"/>
      <c r="E3" s="401"/>
      <c r="F3" s="399" t="s">
        <v>1366</v>
      </c>
      <c r="G3" s="402"/>
      <c r="H3" s="402"/>
      <c r="I3" s="402"/>
      <c r="J3" s="719"/>
    </row>
    <row r="4" spans="1:11" s="408" customFormat="1" ht="35.25" customHeight="1" thickBot="1">
      <c r="A4" s="721"/>
      <c r="B4" s="403" t="s">
        <v>1012</v>
      </c>
      <c r="C4" s="404" t="s">
        <v>1535</v>
      </c>
      <c r="D4" s="405" t="s">
        <v>1536</v>
      </c>
      <c r="E4" s="406" t="s">
        <v>1537</v>
      </c>
      <c r="F4" s="403" t="s">
        <v>1012</v>
      </c>
      <c r="G4" s="404" t="s">
        <v>1535</v>
      </c>
      <c r="H4" s="405" t="s">
        <v>1536</v>
      </c>
      <c r="I4" s="406" t="s">
        <v>1537</v>
      </c>
      <c r="J4" s="719"/>
      <c r="K4" s="407"/>
    </row>
    <row r="5" spans="1:11" s="415" customFormat="1" ht="12" customHeight="1" thickBot="1">
      <c r="A5" s="409" t="s">
        <v>988</v>
      </c>
      <c r="B5" s="410" t="s">
        <v>989</v>
      </c>
      <c r="C5" s="411" t="s">
        <v>990</v>
      </c>
      <c r="D5" s="411" t="s">
        <v>991</v>
      </c>
      <c r="E5" s="412" t="s">
        <v>992</v>
      </c>
      <c r="F5" s="410" t="s">
        <v>993</v>
      </c>
      <c r="G5" s="411" t="s">
        <v>994</v>
      </c>
      <c r="H5" s="411" t="s">
        <v>995</v>
      </c>
      <c r="I5" s="413" t="s">
        <v>996</v>
      </c>
      <c r="J5" s="719"/>
      <c r="K5" s="414"/>
    </row>
    <row r="6" spans="1:11" ht="16.5" customHeight="1">
      <c r="A6" s="416" t="s">
        <v>341</v>
      </c>
      <c r="B6" s="417" t="s">
        <v>1370</v>
      </c>
      <c r="C6" s="418">
        <f>'[2]BFeladat'!D14</f>
        <v>0</v>
      </c>
      <c r="D6" s="418">
        <f>'[2]BFeladat'!E14</f>
        <v>0</v>
      </c>
      <c r="E6" s="419">
        <f>'[2]BFeladat'!G14</f>
        <v>0</v>
      </c>
      <c r="F6" s="417" t="s">
        <v>1371</v>
      </c>
      <c r="G6" s="418">
        <f>Kiadások!I28</f>
        <v>20420000</v>
      </c>
      <c r="H6" s="418"/>
      <c r="I6" s="420"/>
      <c r="J6" s="719"/>
      <c r="K6" s="395" t="s">
        <v>1372</v>
      </c>
    </row>
    <row r="7" spans="1:11" ht="16.5" customHeight="1">
      <c r="A7" s="421" t="s">
        <v>342</v>
      </c>
      <c r="B7" s="422" t="s">
        <v>1373</v>
      </c>
      <c r="C7" s="423">
        <f>Bevételek!I22</f>
        <v>42135000</v>
      </c>
      <c r="D7" s="423"/>
      <c r="E7" s="424"/>
      <c r="F7" s="422" t="s">
        <v>1374</v>
      </c>
      <c r="G7" s="423">
        <f>Kiadások!I29</f>
        <v>4131000</v>
      </c>
      <c r="H7" s="423"/>
      <c r="I7" s="425"/>
      <c r="J7" s="719"/>
      <c r="K7" s="395" t="s">
        <v>1375</v>
      </c>
    </row>
    <row r="8" spans="1:11" ht="16.5" customHeight="1">
      <c r="A8" s="421" t="s">
        <v>343</v>
      </c>
      <c r="B8" s="422" t="s">
        <v>1008</v>
      </c>
      <c r="C8" s="423">
        <v>0</v>
      </c>
      <c r="D8" s="423">
        <v>0</v>
      </c>
      <c r="E8" s="424">
        <v>0</v>
      </c>
      <c r="F8" s="422" t="s">
        <v>1376</v>
      </c>
      <c r="G8" s="423">
        <f>Kiadások!I54</f>
        <v>17284000</v>
      </c>
      <c r="H8" s="423"/>
      <c r="I8" s="425"/>
      <c r="J8" s="719"/>
      <c r="K8" s="395" t="s">
        <v>1377</v>
      </c>
    </row>
    <row r="9" spans="1:11" ht="16.5" customHeight="1">
      <c r="A9" s="421" t="s">
        <v>344</v>
      </c>
      <c r="B9" s="422" t="s">
        <v>708</v>
      </c>
      <c r="C9" s="423">
        <v>0</v>
      </c>
      <c r="D9" s="423"/>
      <c r="E9" s="424"/>
      <c r="F9" s="422" t="s">
        <v>1378</v>
      </c>
      <c r="G9" s="423"/>
      <c r="H9" s="423"/>
      <c r="I9" s="425"/>
      <c r="J9" s="719"/>
      <c r="K9" s="395" t="s">
        <v>1379</v>
      </c>
    </row>
    <row r="10" spans="1:11" ht="16.5" customHeight="1">
      <c r="A10" s="421" t="s">
        <v>345</v>
      </c>
      <c r="B10" s="422" t="s">
        <v>1009</v>
      </c>
      <c r="C10" s="423">
        <v>0</v>
      </c>
      <c r="D10" s="423"/>
      <c r="E10" s="424"/>
      <c r="F10" s="422" t="s">
        <v>1380</v>
      </c>
      <c r="G10" s="423"/>
      <c r="H10" s="423"/>
      <c r="I10" s="425"/>
      <c r="J10" s="719"/>
      <c r="K10" s="395" t="s">
        <v>1381</v>
      </c>
    </row>
    <row r="11" spans="1:11" ht="16.5" customHeight="1">
      <c r="A11" s="421" t="s">
        <v>346</v>
      </c>
      <c r="B11" s="426" t="s">
        <v>630</v>
      </c>
      <c r="C11" s="423">
        <v>0</v>
      </c>
      <c r="D11" s="423"/>
      <c r="E11" s="423"/>
      <c r="F11" s="422" t="s">
        <v>1382</v>
      </c>
      <c r="G11" s="423"/>
      <c r="H11" s="423"/>
      <c r="I11" s="425"/>
      <c r="J11" s="719"/>
      <c r="K11" s="395" t="s">
        <v>1383</v>
      </c>
    </row>
    <row r="12" spans="1:11" ht="16.5" customHeight="1" thickBot="1">
      <c r="A12" s="427" t="s">
        <v>347</v>
      </c>
      <c r="B12" s="428"/>
      <c r="C12" s="429">
        <v>0</v>
      </c>
      <c r="D12" s="429">
        <v>0</v>
      </c>
      <c r="E12" s="430">
        <v>0</v>
      </c>
      <c r="F12" s="428"/>
      <c r="G12" s="429"/>
      <c r="H12" s="429"/>
      <c r="I12" s="431"/>
      <c r="J12" s="719"/>
      <c r="K12" s="395" t="s">
        <v>1384</v>
      </c>
    </row>
    <row r="13" spans="1:11" s="437" customFormat="1" ht="16.5" customHeight="1" thickBot="1">
      <c r="A13" s="432" t="s">
        <v>996</v>
      </c>
      <c r="B13" s="433" t="s">
        <v>1385</v>
      </c>
      <c r="C13" s="434">
        <f>SUM(C6:C12)</f>
        <v>42135000</v>
      </c>
      <c r="D13" s="434">
        <f>SUM(D6:D12)</f>
        <v>0</v>
      </c>
      <c r="E13" s="435">
        <f>SUM(E6:E12)</f>
        <v>0</v>
      </c>
      <c r="F13" s="433" t="s">
        <v>1386</v>
      </c>
      <c r="G13" s="434">
        <f>SUM(G6:G12)</f>
        <v>41835000</v>
      </c>
      <c r="H13" s="434">
        <f>SUM(H6:H12)</f>
        <v>0</v>
      </c>
      <c r="I13" s="435">
        <f>SUM(I6:I12)</f>
        <v>0</v>
      </c>
      <c r="J13" s="719"/>
      <c r="K13" s="436"/>
    </row>
    <row r="14" spans="1:10" ht="16.5" customHeight="1">
      <c r="A14" s="438" t="s">
        <v>348</v>
      </c>
      <c r="B14" s="439" t="s">
        <v>1387</v>
      </c>
      <c r="C14" s="440">
        <v>0</v>
      </c>
      <c r="D14" s="440"/>
      <c r="E14" s="441">
        <v>0</v>
      </c>
      <c r="F14" s="442" t="s">
        <v>1388</v>
      </c>
      <c r="G14" s="440">
        <v>0</v>
      </c>
      <c r="H14" s="440">
        <v>0</v>
      </c>
      <c r="I14" s="443">
        <v>0</v>
      </c>
      <c r="J14" s="719"/>
    </row>
    <row r="15" spans="1:10" ht="16.5" customHeight="1">
      <c r="A15" s="421" t="s">
        <v>349</v>
      </c>
      <c r="B15" s="444" t="s">
        <v>1389</v>
      </c>
      <c r="C15" s="423">
        <v>0</v>
      </c>
      <c r="D15" s="423">
        <v>0</v>
      </c>
      <c r="E15" s="445">
        <v>0</v>
      </c>
      <c r="F15" s="446" t="s">
        <v>1390</v>
      </c>
      <c r="G15" s="423">
        <v>0</v>
      </c>
      <c r="H15" s="423">
        <v>0</v>
      </c>
      <c r="I15" s="425">
        <v>0</v>
      </c>
      <c r="J15" s="719"/>
    </row>
    <row r="16" spans="1:10" ht="16.5" customHeight="1">
      <c r="A16" s="421" t="s">
        <v>350</v>
      </c>
      <c r="B16" s="447" t="s">
        <v>1391</v>
      </c>
      <c r="C16" s="423">
        <v>0</v>
      </c>
      <c r="D16" s="423">
        <v>0</v>
      </c>
      <c r="E16" s="445">
        <v>0</v>
      </c>
      <c r="F16" s="448" t="s">
        <v>789</v>
      </c>
      <c r="G16" s="423"/>
      <c r="H16" s="423"/>
      <c r="I16" s="425"/>
      <c r="J16" s="719"/>
    </row>
    <row r="17" spans="1:10" ht="16.5" customHeight="1">
      <c r="A17" s="421" t="s">
        <v>351</v>
      </c>
      <c r="B17" s="449" t="s">
        <v>1392</v>
      </c>
      <c r="C17" s="423">
        <v>0</v>
      </c>
      <c r="D17" s="423">
        <v>0</v>
      </c>
      <c r="E17" s="445">
        <v>0</v>
      </c>
      <c r="F17" s="446" t="s">
        <v>1393</v>
      </c>
      <c r="G17" s="423">
        <v>0</v>
      </c>
      <c r="H17" s="423">
        <v>0</v>
      </c>
      <c r="I17" s="425">
        <v>0</v>
      </c>
      <c r="J17" s="719"/>
    </row>
    <row r="18" spans="1:10" ht="16.5" customHeight="1">
      <c r="A18" s="421" t="s">
        <v>352</v>
      </c>
      <c r="B18" s="444" t="s">
        <v>1394</v>
      </c>
      <c r="C18" s="423">
        <v>0</v>
      </c>
      <c r="D18" s="423">
        <v>0</v>
      </c>
      <c r="E18" s="445">
        <v>0</v>
      </c>
      <c r="F18" s="446" t="s">
        <v>1395</v>
      </c>
      <c r="G18" s="423">
        <v>0</v>
      </c>
      <c r="H18" s="423">
        <v>0</v>
      </c>
      <c r="I18" s="425">
        <v>0</v>
      </c>
      <c r="J18" s="719"/>
    </row>
    <row r="19" spans="1:10" ht="16.5" customHeight="1">
      <c r="A19" s="421" t="s">
        <v>353</v>
      </c>
      <c r="B19" s="448" t="s">
        <v>851</v>
      </c>
      <c r="C19" s="423">
        <v>0</v>
      </c>
      <c r="D19" s="423"/>
      <c r="E19" s="445"/>
      <c r="F19" s="446"/>
      <c r="G19" s="423"/>
      <c r="H19" s="423"/>
      <c r="I19" s="425"/>
      <c r="J19" s="719"/>
    </row>
    <row r="20" spans="1:10" ht="16.5" customHeight="1" thickBot="1">
      <c r="A20" s="421" t="s">
        <v>998</v>
      </c>
      <c r="B20" s="444"/>
      <c r="C20" s="423">
        <v>0</v>
      </c>
      <c r="D20" s="423"/>
      <c r="E20" s="445"/>
      <c r="F20" s="450"/>
      <c r="G20" s="423"/>
      <c r="H20" s="423"/>
      <c r="I20" s="425"/>
      <c r="J20" s="719"/>
    </row>
    <row r="21" spans="1:11" ht="23.25" customHeight="1" thickBot="1">
      <c r="A21" s="451" t="s">
        <v>1396</v>
      </c>
      <c r="B21" s="452" t="s">
        <v>1397</v>
      </c>
      <c r="C21" s="453">
        <f>SUM(C14:C20)</f>
        <v>0</v>
      </c>
      <c r="D21" s="453">
        <f>SUM(D14:D20)</f>
        <v>0</v>
      </c>
      <c r="E21" s="454">
        <f>SUM(E14:E20)</f>
        <v>0</v>
      </c>
      <c r="F21" s="452" t="s">
        <v>1397</v>
      </c>
      <c r="G21" s="453">
        <f>SUM(G14:G20)</f>
        <v>0</v>
      </c>
      <c r="H21" s="453">
        <f>SUM(H14:H20)</f>
        <v>0</v>
      </c>
      <c r="I21" s="455">
        <f>SUM(I14:I20)</f>
        <v>0</v>
      </c>
      <c r="J21" s="719"/>
      <c r="K21" s="395" t="s">
        <v>1398</v>
      </c>
    </row>
    <row r="22" spans="1:11" ht="16.5" customHeight="1">
      <c r="A22" s="456" t="s">
        <v>999</v>
      </c>
      <c r="B22" s="457" t="s">
        <v>1399</v>
      </c>
      <c r="C22" s="458">
        <v>0</v>
      </c>
      <c r="D22" s="458"/>
      <c r="E22" s="445"/>
      <c r="F22" s="457" t="s">
        <v>895</v>
      </c>
      <c r="G22" s="458">
        <v>0</v>
      </c>
      <c r="H22" s="458">
        <v>0</v>
      </c>
      <c r="I22" s="459">
        <v>0</v>
      </c>
      <c r="J22" s="719"/>
      <c r="K22" s="395" t="s">
        <v>1400</v>
      </c>
    </row>
    <row r="23" spans="1:11" ht="16.5" customHeight="1">
      <c r="A23" s="456" t="s">
        <v>1000</v>
      </c>
      <c r="B23" s="422" t="s">
        <v>1401</v>
      </c>
      <c r="C23" s="458">
        <v>0</v>
      </c>
      <c r="D23" s="458"/>
      <c r="E23" s="445"/>
      <c r="F23" s="422" t="s">
        <v>1402</v>
      </c>
      <c r="G23" s="458">
        <v>0</v>
      </c>
      <c r="H23" s="458"/>
      <c r="I23" s="459"/>
      <c r="J23" s="719"/>
      <c r="K23" s="395" t="s">
        <v>1403</v>
      </c>
    </row>
    <row r="24" spans="1:11" ht="16.5" customHeight="1">
      <c r="A24" s="456" t="s">
        <v>1001</v>
      </c>
      <c r="B24" s="422" t="s">
        <v>1404</v>
      </c>
      <c r="C24" s="458">
        <v>0</v>
      </c>
      <c r="D24" s="458"/>
      <c r="E24" s="445"/>
      <c r="F24" s="422" t="s">
        <v>1405</v>
      </c>
      <c r="G24" s="458">
        <f>Kiadások!I84</f>
        <v>235600</v>
      </c>
      <c r="H24" s="458"/>
      <c r="I24" s="459"/>
      <c r="J24" s="719"/>
      <c r="K24" s="395" t="s">
        <v>1406</v>
      </c>
    </row>
    <row r="25" spans="1:11" ht="16.5" customHeight="1">
      <c r="A25" s="456" t="s">
        <v>1080</v>
      </c>
      <c r="B25" s="422" t="s">
        <v>1407</v>
      </c>
      <c r="C25" s="458">
        <v>0</v>
      </c>
      <c r="D25" s="458"/>
      <c r="E25" s="445"/>
      <c r="F25" s="422" t="s">
        <v>576</v>
      </c>
      <c r="G25" s="458">
        <v>0</v>
      </c>
      <c r="H25" s="458"/>
      <c r="I25" s="459"/>
      <c r="J25" s="719"/>
      <c r="K25" s="395" t="s">
        <v>1408</v>
      </c>
    </row>
    <row r="26" spans="1:11" ht="16.5" customHeight="1">
      <c r="A26" s="456" t="s">
        <v>1081</v>
      </c>
      <c r="B26" s="422" t="s">
        <v>1409</v>
      </c>
      <c r="C26" s="458">
        <v>0</v>
      </c>
      <c r="D26" s="458"/>
      <c r="E26" s="458"/>
      <c r="F26" s="422" t="s">
        <v>896</v>
      </c>
      <c r="G26" s="458">
        <f>Kiadások!I87</f>
        <v>64400</v>
      </c>
      <c r="H26" s="458"/>
      <c r="I26" s="459"/>
      <c r="J26" s="719"/>
      <c r="K26" s="395" t="s">
        <v>1410</v>
      </c>
    </row>
    <row r="27" spans="1:11" ht="16.5" customHeight="1">
      <c r="A27" s="456" t="s">
        <v>1082</v>
      </c>
      <c r="B27" s="426"/>
      <c r="C27" s="458">
        <v>0</v>
      </c>
      <c r="D27" s="458">
        <v>0</v>
      </c>
      <c r="E27" s="445">
        <v>0</v>
      </c>
      <c r="F27" s="422" t="s">
        <v>322</v>
      </c>
      <c r="G27" s="458">
        <v>0</v>
      </c>
      <c r="H27" s="458">
        <v>0</v>
      </c>
      <c r="I27" s="459">
        <v>0</v>
      </c>
      <c r="J27" s="719"/>
      <c r="K27" s="395" t="s">
        <v>1411</v>
      </c>
    </row>
    <row r="28" spans="1:11" ht="16.5" customHeight="1" thickBot="1">
      <c r="A28" s="456" t="s">
        <v>1083</v>
      </c>
      <c r="B28" s="444"/>
      <c r="C28" s="458">
        <v>0</v>
      </c>
      <c r="D28" s="458">
        <v>0</v>
      </c>
      <c r="E28" s="445">
        <v>0</v>
      </c>
      <c r="F28" s="426" t="s">
        <v>1412</v>
      </c>
      <c r="G28" s="458">
        <v>0</v>
      </c>
      <c r="H28" s="458">
        <v>0</v>
      </c>
      <c r="I28" s="459">
        <v>0</v>
      </c>
      <c r="J28" s="719"/>
      <c r="K28" s="395" t="s">
        <v>1413</v>
      </c>
    </row>
    <row r="29" spans="1:11" ht="18" customHeight="1" thickBot="1">
      <c r="A29" s="451" t="s">
        <v>1414</v>
      </c>
      <c r="B29" s="452" t="s">
        <v>1415</v>
      </c>
      <c r="C29" s="453">
        <f>SUM(C22:C28)</f>
        <v>0</v>
      </c>
      <c r="D29" s="453">
        <f>SUM(D22:D28)</f>
        <v>0</v>
      </c>
      <c r="E29" s="454">
        <f>SUM(E22:E28)</f>
        <v>0</v>
      </c>
      <c r="F29" s="452" t="s">
        <v>1415</v>
      </c>
      <c r="G29" s="453">
        <f>SUM(G22:G28)</f>
        <v>300000</v>
      </c>
      <c r="H29" s="453">
        <f>SUM(H22:H28)</f>
        <v>0</v>
      </c>
      <c r="I29" s="455">
        <f>SUM(I22:I28)</f>
        <v>0</v>
      </c>
      <c r="J29" s="719"/>
      <c r="K29" s="395" t="s">
        <v>1416</v>
      </c>
    </row>
    <row r="30" spans="1:11" ht="16.5" customHeight="1" thickBot="1">
      <c r="A30" s="451"/>
      <c r="B30" s="460" t="s">
        <v>1417</v>
      </c>
      <c r="C30" s="461">
        <f>C29+C21+C13</f>
        <v>42135000</v>
      </c>
      <c r="D30" s="461">
        <f>D29+D21+D13</f>
        <v>0</v>
      </c>
      <c r="E30" s="462" t="s">
        <v>1418</v>
      </c>
      <c r="F30" s="460" t="s">
        <v>1419</v>
      </c>
      <c r="G30" s="461">
        <f>G29+G21+G13</f>
        <v>42135000</v>
      </c>
      <c r="H30" s="461">
        <f>H29+H21+H13</f>
        <v>0</v>
      </c>
      <c r="I30" s="463">
        <f>I29+I21+I13</f>
        <v>0</v>
      </c>
      <c r="J30" s="719"/>
      <c r="K30" s="395" t="s">
        <v>1420</v>
      </c>
    </row>
    <row r="31" ht="15">
      <c r="I31" s="397"/>
    </row>
    <row r="32" ht="15">
      <c r="B32" s="6" t="s">
        <v>1543</v>
      </c>
    </row>
    <row r="34" spans="2:6" ht="15">
      <c r="B34" s="466"/>
      <c r="F34" s="467"/>
    </row>
    <row r="35" spans="2:6" ht="15">
      <c r="B35" s="396" t="s">
        <v>909</v>
      </c>
      <c r="F35" s="396" t="s">
        <v>910</v>
      </c>
    </row>
    <row r="37" spans="2:10" ht="31.5" customHeight="1">
      <c r="B37" s="392" t="s">
        <v>1422</v>
      </c>
      <c r="C37" s="393"/>
      <c r="D37" s="393"/>
      <c r="E37" s="393"/>
      <c r="F37" s="394"/>
      <c r="G37" s="394"/>
      <c r="H37" s="394"/>
      <c r="I37" s="394"/>
      <c r="J37" s="719" t="s">
        <v>1548</v>
      </c>
    </row>
    <row r="38" spans="7:10" ht="15.75" thickBot="1">
      <c r="G38" s="398"/>
      <c r="H38" s="398"/>
      <c r="I38" s="398" t="s">
        <v>1364</v>
      </c>
      <c r="J38" s="719"/>
    </row>
    <row r="39" spans="1:10" ht="18" customHeight="1" thickBot="1">
      <c r="A39" s="720" t="s">
        <v>373</v>
      </c>
      <c r="B39" s="399" t="s">
        <v>1365</v>
      </c>
      <c r="C39" s="400"/>
      <c r="D39" s="400"/>
      <c r="E39" s="401"/>
      <c r="F39" s="399" t="s">
        <v>1366</v>
      </c>
      <c r="G39" s="402"/>
      <c r="H39" s="402"/>
      <c r="I39" s="402"/>
      <c r="J39" s="719"/>
    </row>
    <row r="40" spans="1:11" s="408" customFormat="1" ht="35.25" customHeight="1" thickBot="1">
      <c r="A40" s="721"/>
      <c r="B40" s="403" t="s">
        <v>1012</v>
      </c>
      <c r="C40" s="404" t="s">
        <v>1535</v>
      </c>
      <c r="D40" s="405" t="s">
        <v>1536</v>
      </c>
      <c r="E40" s="406" t="s">
        <v>1537</v>
      </c>
      <c r="F40" s="403" t="s">
        <v>1012</v>
      </c>
      <c r="G40" s="404" t="s">
        <v>1535</v>
      </c>
      <c r="H40" s="405" t="s">
        <v>1536</v>
      </c>
      <c r="I40" s="406" t="s">
        <v>1537</v>
      </c>
      <c r="J40" s="719"/>
      <c r="K40" s="407"/>
    </row>
    <row r="41" spans="1:11" s="415" customFormat="1" ht="12" customHeight="1" thickBot="1">
      <c r="A41" s="409" t="s">
        <v>988</v>
      </c>
      <c r="B41" s="410" t="s">
        <v>989</v>
      </c>
      <c r="C41" s="411" t="s">
        <v>990</v>
      </c>
      <c r="D41" s="411" t="s">
        <v>991</v>
      </c>
      <c r="E41" s="412" t="s">
        <v>992</v>
      </c>
      <c r="F41" s="410" t="s">
        <v>993</v>
      </c>
      <c r="G41" s="411" t="s">
        <v>994</v>
      </c>
      <c r="H41" s="411" t="s">
        <v>995</v>
      </c>
      <c r="I41" s="413" t="s">
        <v>996</v>
      </c>
      <c r="J41" s="719"/>
      <c r="K41" s="414"/>
    </row>
    <row r="42" spans="1:11" ht="16.5" customHeight="1">
      <c r="A42" s="416" t="s">
        <v>341</v>
      </c>
      <c r="B42" s="417" t="s">
        <v>1370</v>
      </c>
      <c r="C42" s="418">
        <v>0</v>
      </c>
      <c r="D42" s="418">
        <v>0</v>
      </c>
      <c r="E42" s="419">
        <v>0</v>
      </c>
      <c r="F42" s="417" t="s">
        <v>1371</v>
      </c>
      <c r="G42" s="418">
        <f>Kiadások!N28</f>
        <v>31485000</v>
      </c>
      <c r="H42" s="418"/>
      <c r="I42" s="420"/>
      <c r="J42" s="719"/>
      <c r="K42" s="395" t="s">
        <v>1372</v>
      </c>
    </row>
    <row r="43" spans="1:11" ht="16.5" customHeight="1">
      <c r="A43" s="421" t="s">
        <v>342</v>
      </c>
      <c r="B43" s="422" t="s">
        <v>1373</v>
      </c>
      <c r="C43" s="423">
        <f>Bevételek!N22</f>
        <v>42965000</v>
      </c>
      <c r="D43" s="423">
        <v>0</v>
      </c>
      <c r="E43" s="424">
        <v>0</v>
      </c>
      <c r="F43" s="422" t="s">
        <v>1374</v>
      </c>
      <c r="G43" s="423">
        <f>Kiadások!N29</f>
        <v>5810000</v>
      </c>
      <c r="H43" s="423"/>
      <c r="I43" s="425"/>
      <c r="J43" s="719"/>
      <c r="K43" s="395" t="s">
        <v>1375</v>
      </c>
    </row>
    <row r="44" spans="1:11" ht="16.5" customHeight="1">
      <c r="A44" s="421" t="s">
        <v>343</v>
      </c>
      <c r="B44" s="422" t="s">
        <v>1008</v>
      </c>
      <c r="C44" s="423">
        <v>0</v>
      </c>
      <c r="D44" s="423">
        <v>0</v>
      </c>
      <c r="E44" s="424">
        <v>0</v>
      </c>
      <c r="F44" s="422" t="s">
        <v>1376</v>
      </c>
      <c r="G44" s="423">
        <f>Kiadások!N54</f>
        <v>4968000</v>
      </c>
      <c r="H44" s="423"/>
      <c r="I44" s="425"/>
      <c r="J44" s="719"/>
      <c r="K44" s="395" t="s">
        <v>1377</v>
      </c>
    </row>
    <row r="45" spans="1:11" ht="16.5" customHeight="1">
      <c r="A45" s="421" t="s">
        <v>344</v>
      </c>
      <c r="B45" s="422" t="s">
        <v>708</v>
      </c>
      <c r="C45" s="423">
        <v>0</v>
      </c>
      <c r="D45" s="423"/>
      <c r="E45" s="424"/>
      <c r="F45" s="422" t="s">
        <v>1378</v>
      </c>
      <c r="G45" s="423">
        <v>0</v>
      </c>
      <c r="H45" s="423">
        <v>0</v>
      </c>
      <c r="I45" s="425">
        <v>0</v>
      </c>
      <c r="J45" s="719"/>
      <c r="K45" s="395" t="s">
        <v>1379</v>
      </c>
    </row>
    <row r="46" spans="1:11" ht="16.5" customHeight="1">
      <c r="A46" s="421" t="s">
        <v>345</v>
      </c>
      <c r="B46" s="422" t="s">
        <v>1009</v>
      </c>
      <c r="C46" s="423">
        <v>0</v>
      </c>
      <c r="D46" s="423">
        <v>0</v>
      </c>
      <c r="E46" s="424">
        <v>0</v>
      </c>
      <c r="F46" s="422" t="s">
        <v>1380</v>
      </c>
      <c r="G46" s="423"/>
      <c r="H46" s="423"/>
      <c r="I46" s="425"/>
      <c r="J46" s="719"/>
      <c r="K46" s="395" t="s">
        <v>1381</v>
      </c>
    </row>
    <row r="47" spans="1:11" ht="16.5" customHeight="1">
      <c r="A47" s="421" t="s">
        <v>346</v>
      </c>
      <c r="B47" s="426" t="s">
        <v>630</v>
      </c>
      <c r="C47" s="423">
        <v>0</v>
      </c>
      <c r="D47" s="423">
        <v>0</v>
      </c>
      <c r="E47" s="424">
        <v>0</v>
      </c>
      <c r="F47" s="422" t="s">
        <v>1382</v>
      </c>
      <c r="G47" s="423"/>
      <c r="H47" s="423"/>
      <c r="I47" s="425"/>
      <c r="J47" s="719"/>
      <c r="K47" s="395" t="s">
        <v>1383</v>
      </c>
    </row>
    <row r="48" spans="1:11" ht="16.5" customHeight="1" thickBot="1">
      <c r="A48" s="427" t="s">
        <v>347</v>
      </c>
      <c r="B48" s="428"/>
      <c r="C48" s="429"/>
      <c r="D48" s="429"/>
      <c r="E48" s="430"/>
      <c r="F48" s="428"/>
      <c r="G48" s="429"/>
      <c r="H48" s="429"/>
      <c r="I48" s="431"/>
      <c r="J48" s="719"/>
      <c r="K48" s="395" t="s">
        <v>1384</v>
      </c>
    </row>
    <row r="49" spans="1:11" s="437" customFormat="1" ht="16.5" customHeight="1" thickBot="1">
      <c r="A49" s="432" t="s">
        <v>996</v>
      </c>
      <c r="B49" s="433" t="s">
        <v>1385</v>
      </c>
      <c r="C49" s="434">
        <f>SUM(C42:C48)</f>
        <v>42965000</v>
      </c>
      <c r="D49" s="434">
        <f>SUM(D42:D48)</f>
        <v>0</v>
      </c>
      <c r="E49" s="468">
        <f>SUM(E42:E48)</f>
        <v>0</v>
      </c>
      <c r="F49" s="433" t="s">
        <v>1386</v>
      </c>
      <c r="G49" s="434">
        <f>SUM(G42:G48)</f>
        <v>42263000</v>
      </c>
      <c r="H49" s="434">
        <f>SUM(H42:H48)</f>
        <v>0</v>
      </c>
      <c r="I49" s="435">
        <f>SUM(I42:I48)</f>
        <v>0</v>
      </c>
      <c r="J49" s="719"/>
      <c r="K49" s="436"/>
    </row>
    <row r="50" spans="1:10" ht="16.5" customHeight="1">
      <c r="A50" s="438" t="s">
        <v>348</v>
      </c>
      <c r="B50" s="439" t="s">
        <v>1387</v>
      </c>
      <c r="C50" s="440">
        <v>0</v>
      </c>
      <c r="D50" s="440">
        <v>0</v>
      </c>
      <c r="E50" s="440">
        <v>0</v>
      </c>
      <c r="F50" s="442" t="s">
        <v>1388</v>
      </c>
      <c r="G50" s="440"/>
      <c r="H50" s="440"/>
      <c r="I50" s="443"/>
      <c r="J50" s="719"/>
    </row>
    <row r="51" spans="1:10" ht="16.5" customHeight="1">
      <c r="A51" s="421" t="s">
        <v>349</v>
      </c>
      <c r="B51" s="444" t="s">
        <v>1389</v>
      </c>
      <c r="C51" s="423">
        <v>0</v>
      </c>
      <c r="D51" s="423">
        <v>0</v>
      </c>
      <c r="E51" s="423">
        <v>0</v>
      </c>
      <c r="F51" s="446" t="s">
        <v>1390</v>
      </c>
      <c r="G51" s="423"/>
      <c r="H51" s="423"/>
      <c r="I51" s="425"/>
      <c r="J51" s="719"/>
    </row>
    <row r="52" spans="1:10" ht="16.5" customHeight="1">
      <c r="A52" s="421" t="s">
        <v>350</v>
      </c>
      <c r="B52" s="447" t="s">
        <v>1391</v>
      </c>
      <c r="C52" s="423"/>
      <c r="D52" s="423"/>
      <c r="E52" s="423"/>
      <c r="F52" s="448" t="s">
        <v>789</v>
      </c>
      <c r="G52" s="423"/>
      <c r="H52" s="423"/>
      <c r="I52" s="425"/>
      <c r="J52" s="719"/>
    </row>
    <row r="53" spans="1:10" ht="16.5" customHeight="1">
      <c r="A53" s="421" t="s">
        <v>351</v>
      </c>
      <c r="B53" s="449" t="s">
        <v>1392</v>
      </c>
      <c r="C53" s="423"/>
      <c r="D53" s="423"/>
      <c r="E53" s="423"/>
      <c r="F53" s="446" t="s">
        <v>1393</v>
      </c>
      <c r="G53" s="423"/>
      <c r="H53" s="423"/>
      <c r="I53" s="425"/>
      <c r="J53" s="719"/>
    </row>
    <row r="54" spans="1:10" ht="16.5" customHeight="1">
      <c r="A54" s="421" t="s">
        <v>352</v>
      </c>
      <c r="B54" s="444" t="s">
        <v>1394</v>
      </c>
      <c r="C54" s="423"/>
      <c r="D54" s="423"/>
      <c r="E54" s="423"/>
      <c r="F54" s="446" t="s">
        <v>1395</v>
      </c>
      <c r="G54" s="423"/>
      <c r="H54" s="423"/>
      <c r="I54" s="425"/>
      <c r="J54" s="719"/>
    </row>
    <row r="55" spans="1:10" ht="16.5" customHeight="1">
      <c r="A55" s="421" t="s">
        <v>353</v>
      </c>
      <c r="B55" s="448" t="s">
        <v>851</v>
      </c>
      <c r="C55" s="423"/>
      <c r="D55" s="423"/>
      <c r="E55" s="423"/>
      <c r="F55" s="446"/>
      <c r="G55" s="423"/>
      <c r="H55" s="423"/>
      <c r="I55" s="425"/>
      <c r="J55" s="719"/>
    </row>
    <row r="56" spans="1:10" ht="16.5" customHeight="1" thickBot="1">
      <c r="A56" s="421" t="s">
        <v>998</v>
      </c>
      <c r="B56" s="444"/>
      <c r="C56" s="423"/>
      <c r="D56" s="423"/>
      <c r="E56" s="445"/>
      <c r="F56" s="450"/>
      <c r="G56" s="423"/>
      <c r="H56" s="423"/>
      <c r="I56" s="425"/>
      <c r="J56" s="719"/>
    </row>
    <row r="57" spans="1:11" ht="23.25" customHeight="1" thickBot="1">
      <c r="A57" s="451" t="s">
        <v>1396</v>
      </c>
      <c r="B57" s="452" t="s">
        <v>1397</v>
      </c>
      <c r="C57" s="453">
        <f>SUM(C50:C56)</f>
        <v>0</v>
      </c>
      <c r="D57" s="453">
        <f>SUM(D50:D56)</f>
        <v>0</v>
      </c>
      <c r="E57" s="454">
        <f>SUM(E50:E56)</f>
        <v>0</v>
      </c>
      <c r="F57" s="452" t="s">
        <v>1397</v>
      </c>
      <c r="G57" s="453">
        <f>SUM(G50:G56)</f>
        <v>0</v>
      </c>
      <c r="H57" s="453">
        <f>SUM(H50:H56)</f>
        <v>0</v>
      </c>
      <c r="I57" s="455">
        <f>SUM(I50:I56)</f>
        <v>0</v>
      </c>
      <c r="J57" s="719"/>
      <c r="K57" s="395" t="s">
        <v>1398</v>
      </c>
    </row>
    <row r="58" spans="1:11" ht="16.5" customHeight="1">
      <c r="A58" s="456" t="s">
        <v>999</v>
      </c>
      <c r="B58" s="457" t="s">
        <v>1399</v>
      </c>
      <c r="C58" s="458">
        <v>0</v>
      </c>
      <c r="D58" s="458">
        <v>0</v>
      </c>
      <c r="E58" s="445">
        <v>0</v>
      </c>
      <c r="F58" s="457" t="s">
        <v>895</v>
      </c>
      <c r="G58" s="458">
        <f>Kiadások!N81</f>
        <v>300000</v>
      </c>
      <c r="H58" s="458"/>
      <c r="I58" s="459"/>
      <c r="J58" s="719"/>
      <c r="K58" s="395" t="s">
        <v>1400</v>
      </c>
    </row>
    <row r="59" spans="1:11" ht="16.5" customHeight="1">
      <c r="A59" s="456" t="s">
        <v>1000</v>
      </c>
      <c r="B59" s="422" t="s">
        <v>1401</v>
      </c>
      <c r="C59" s="458">
        <v>0</v>
      </c>
      <c r="D59" s="458">
        <v>0</v>
      </c>
      <c r="E59" s="445">
        <v>0</v>
      </c>
      <c r="F59" s="422" t="s">
        <v>1402</v>
      </c>
      <c r="G59" s="458">
        <f>Kiadások!N84</f>
        <v>253000</v>
      </c>
      <c r="H59" s="458"/>
      <c r="I59" s="459"/>
      <c r="J59" s="719"/>
      <c r="K59" s="395" t="s">
        <v>1403</v>
      </c>
    </row>
    <row r="60" spans="1:11" ht="16.5" customHeight="1">
      <c r="A60" s="456" t="s">
        <v>1001</v>
      </c>
      <c r="B60" s="422" t="s">
        <v>1404</v>
      </c>
      <c r="C60" s="458">
        <v>0</v>
      </c>
      <c r="D60" s="458">
        <v>0</v>
      </c>
      <c r="E60" s="445">
        <v>0</v>
      </c>
      <c r="F60" s="422" t="s">
        <v>1405</v>
      </c>
      <c r="G60" s="458"/>
      <c r="H60" s="458"/>
      <c r="I60" s="459"/>
      <c r="J60" s="719"/>
      <c r="K60" s="395" t="s">
        <v>1406</v>
      </c>
    </row>
    <row r="61" spans="1:11" ht="16.5" customHeight="1">
      <c r="A61" s="456" t="s">
        <v>1080</v>
      </c>
      <c r="B61" s="422" t="s">
        <v>1407</v>
      </c>
      <c r="C61" s="458">
        <v>0</v>
      </c>
      <c r="D61" s="458">
        <v>0</v>
      </c>
      <c r="E61" s="445">
        <v>0</v>
      </c>
      <c r="F61" s="422" t="s">
        <v>576</v>
      </c>
      <c r="G61" s="458"/>
      <c r="H61" s="458"/>
      <c r="I61" s="459"/>
      <c r="J61" s="719"/>
      <c r="K61" s="395" t="s">
        <v>1408</v>
      </c>
    </row>
    <row r="62" spans="1:11" ht="16.5" customHeight="1">
      <c r="A62" s="456" t="s">
        <v>1081</v>
      </c>
      <c r="B62" s="422" t="s">
        <v>1409</v>
      </c>
      <c r="C62" s="458">
        <v>0</v>
      </c>
      <c r="D62" s="458">
        <v>0</v>
      </c>
      <c r="E62" s="445">
        <v>0</v>
      </c>
      <c r="F62" s="422" t="s">
        <v>896</v>
      </c>
      <c r="G62" s="458">
        <f>Kiadások!N87</f>
        <v>149000</v>
      </c>
      <c r="H62" s="458"/>
      <c r="I62" s="459"/>
      <c r="J62" s="719"/>
      <c r="K62" s="395" t="s">
        <v>1410</v>
      </c>
    </row>
    <row r="63" spans="1:11" ht="16.5" customHeight="1">
      <c r="A63" s="456" t="s">
        <v>1082</v>
      </c>
      <c r="B63" s="426"/>
      <c r="C63" s="458"/>
      <c r="D63" s="458"/>
      <c r="E63" s="445"/>
      <c r="F63" s="422" t="s">
        <v>322</v>
      </c>
      <c r="G63" s="458"/>
      <c r="H63" s="458"/>
      <c r="I63" s="459"/>
      <c r="J63" s="719"/>
      <c r="K63" s="395" t="s">
        <v>1411</v>
      </c>
    </row>
    <row r="64" spans="1:11" ht="16.5" customHeight="1" thickBot="1">
      <c r="A64" s="456" t="s">
        <v>1083</v>
      </c>
      <c r="B64" s="444"/>
      <c r="C64" s="458"/>
      <c r="D64" s="458"/>
      <c r="E64" s="445"/>
      <c r="F64" s="426" t="s">
        <v>1412</v>
      </c>
      <c r="G64" s="458"/>
      <c r="H64" s="458"/>
      <c r="I64" s="459"/>
      <c r="J64" s="719"/>
      <c r="K64" s="395" t="s">
        <v>1413</v>
      </c>
    </row>
    <row r="65" spans="1:11" ht="18" customHeight="1" thickBot="1">
      <c r="A65" s="451" t="s">
        <v>1414</v>
      </c>
      <c r="B65" s="452" t="s">
        <v>1415</v>
      </c>
      <c r="C65" s="453">
        <f>SUM(C58:C64)</f>
        <v>0</v>
      </c>
      <c r="D65" s="453">
        <f>SUM(D58:D64)</f>
        <v>0</v>
      </c>
      <c r="E65" s="454">
        <f>SUM(E58:E64)</f>
        <v>0</v>
      </c>
      <c r="F65" s="452" t="s">
        <v>1415</v>
      </c>
      <c r="G65" s="453">
        <f>SUM(G58:G64)</f>
        <v>702000</v>
      </c>
      <c r="H65" s="453">
        <f>SUM(H58:H64)</f>
        <v>0</v>
      </c>
      <c r="I65" s="455">
        <f>SUM(I58:I64)</f>
        <v>0</v>
      </c>
      <c r="J65" s="719"/>
      <c r="K65" s="395" t="s">
        <v>1416</v>
      </c>
    </row>
    <row r="66" spans="1:11" ht="16.5" customHeight="1" thickBot="1">
      <c r="A66" s="451"/>
      <c r="B66" s="460" t="s">
        <v>1417</v>
      </c>
      <c r="C66" s="469">
        <f>C65+C57+C49</f>
        <v>42965000</v>
      </c>
      <c r="D66" s="469">
        <f>D65+D57+D49</f>
        <v>0</v>
      </c>
      <c r="E66" s="470">
        <f>E65+E57+E49</f>
        <v>0</v>
      </c>
      <c r="F66" s="460" t="s">
        <v>1419</v>
      </c>
      <c r="G66" s="469">
        <f>G65+G57+G49</f>
        <v>42965000</v>
      </c>
      <c r="H66" s="469">
        <f>H65+H57+H49</f>
        <v>0</v>
      </c>
      <c r="I66" s="471">
        <f>I65+I57+I49</f>
        <v>0</v>
      </c>
      <c r="J66" s="719"/>
      <c r="K66" s="395" t="s">
        <v>1420</v>
      </c>
    </row>
    <row r="67" spans="3:5" ht="15">
      <c r="C67" s="397">
        <f>'[2]BFeladat'!K107</f>
        <v>0</v>
      </c>
      <c r="D67" s="397">
        <f>'[2]BFeladat'!L107</f>
        <v>37704580</v>
      </c>
      <c r="E67" s="397">
        <f>'[2]BFeladat'!N107</f>
        <v>43265572</v>
      </c>
    </row>
    <row r="68" ht="15">
      <c r="B68" s="6" t="s">
        <v>1543</v>
      </c>
    </row>
    <row r="70" spans="2:6" ht="15">
      <c r="B70" s="466"/>
      <c r="F70" s="467"/>
    </row>
    <row r="71" spans="2:6" ht="15">
      <c r="B71" s="396" t="s">
        <v>909</v>
      </c>
      <c r="F71" s="396" t="s">
        <v>910</v>
      </c>
    </row>
    <row r="73" spans="2:10" ht="31.5" hidden="1">
      <c r="B73" s="392" t="s">
        <v>1539</v>
      </c>
      <c r="C73" s="393"/>
      <c r="D73" s="393"/>
      <c r="E73" s="393"/>
      <c r="F73" s="394"/>
      <c r="G73" s="394"/>
      <c r="H73" s="394"/>
      <c r="I73" s="394"/>
      <c r="J73" s="722" t="s">
        <v>1423</v>
      </c>
    </row>
    <row r="74" spans="7:10" ht="15.75" hidden="1" thickBot="1">
      <c r="G74" s="398"/>
      <c r="H74" s="398"/>
      <c r="I74" s="398" t="s">
        <v>1364</v>
      </c>
      <c r="J74" s="722"/>
    </row>
    <row r="75" spans="1:10" ht="18" customHeight="1" hidden="1" thickBot="1">
      <c r="A75" s="720" t="s">
        <v>373</v>
      </c>
      <c r="B75" s="399" t="s">
        <v>1365</v>
      </c>
      <c r="C75" s="400"/>
      <c r="D75" s="400"/>
      <c r="E75" s="401"/>
      <c r="F75" s="399" t="s">
        <v>1366</v>
      </c>
      <c r="G75" s="402"/>
      <c r="H75" s="402"/>
      <c r="I75" s="402"/>
      <c r="J75" s="722"/>
    </row>
    <row r="76" spans="1:11" s="408" customFormat="1" ht="35.25" customHeight="1" hidden="1" thickBot="1">
      <c r="A76" s="721"/>
      <c r="B76" s="403" t="s">
        <v>1012</v>
      </c>
      <c r="C76" s="404" t="s">
        <v>1367</v>
      </c>
      <c r="D76" s="405" t="s">
        <v>1368</v>
      </c>
      <c r="E76" s="406" t="s">
        <v>1369</v>
      </c>
      <c r="F76" s="403" t="s">
        <v>1012</v>
      </c>
      <c r="G76" s="404" t="s">
        <v>1367</v>
      </c>
      <c r="H76" s="405" t="s">
        <v>1368</v>
      </c>
      <c r="I76" s="406" t="s">
        <v>1369</v>
      </c>
      <c r="J76" s="722"/>
      <c r="K76" s="407"/>
    </row>
    <row r="77" spans="1:11" s="415" customFormat="1" ht="12" customHeight="1" hidden="1" thickBot="1">
      <c r="A77" s="409" t="s">
        <v>988</v>
      </c>
      <c r="B77" s="410" t="s">
        <v>989</v>
      </c>
      <c r="C77" s="411" t="s">
        <v>990</v>
      </c>
      <c r="D77" s="411" t="s">
        <v>991</v>
      </c>
      <c r="E77" s="412" t="s">
        <v>992</v>
      </c>
      <c r="F77" s="410" t="s">
        <v>993</v>
      </c>
      <c r="G77" s="411" t="s">
        <v>994</v>
      </c>
      <c r="H77" s="411" t="s">
        <v>995</v>
      </c>
      <c r="I77" s="413" t="s">
        <v>996</v>
      </c>
      <c r="J77" s="722"/>
      <c r="K77" s="414"/>
    </row>
    <row r="78" spans="1:11" ht="16.5" customHeight="1" hidden="1">
      <c r="A78" s="416" t="s">
        <v>341</v>
      </c>
      <c r="B78" s="417" t="s">
        <v>1370</v>
      </c>
      <c r="C78" s="418">
        <v>0</v>
      </c>
      <c r="D78" s="418">
        <v>0</v>
      </c>
      <c r="E78" s="419">
        <v>0</v>
      </c>
      <c r="F78" s="417" t="s">
        <v>1371</v>
      </c>
      <c r="G78" s="418"/>
      <c r="H78" s="418"/>
      <c r="I78" s="420"/>
      <c r="J78" s="722"/>
      <c r="K78" s="395" t="s">
        <v>1372</v>
      </c>
    </row>
    <row r="79" spans="1:11" ht="16.5" customHeight="1" hidden="1">
      <c r="A79" s="421" t="s">
        <v>342</v>
      </c>
      <c r="B79" s="422" t="s">
        <v>1373</v>
      </c>
      <c r="C79" s="423"/>
      <c r="D79" s="423">
        <v>0</v>
      </c>
      <c r="E79" s="424">
        <v>0</v>
      </c>
      <c r="F79" s="422" t="s">
        <v>1374</v>
      </c>
      <c r="G79" s="423"/>
      <c r="H79" s="423"/>
      <c r="I79" s="425"/>
      <c r="J79" s="722"/>
      <c r="K79" s="395" t="s">
        <v>1375</v>
      </c>
    </row>
    <row r="80" spans="1:11" ht="16.5" customHeight="1" hidden="1">
      <c r="A80" s="421" t="s">
        <v>343</v>
      </c>
      <c r="B80" s="422" t="s">
        <v>1008</v>
      </c>
      <c r="C80" s="423">
        <v>0</v>
      </c>
      <c r="D80" s="423">
        <v>0</v>
      </c>
      <c r="E80" s="424">
        <v>0</v>
      </c>
      <c r="F80" s="422" t="s">
        <v>1376</v>
      </c>
      <c r="G80" s="423"/>
      <c r="H80" s="423"/>
      <c r="I80" s="425"/>
      <c r="J80" s="722"/>
      <c r="K80" s="395" t="s">
        <v>1377</v>
      </c>
    </row>
    <row r="81" spans="1:11" ht="16.5" customHeight="1" hidden="1">
      <c r="A81" s="421" t="s">
        <v>344</v>
      </c>
      <c r="B81" s="422" t="s">
        <v>708</v>
      </c>
      <c r="C81" s="423">
        <v>0</v>
      </c>
      <c r="D81" s="423"/>
      <c r="E81" s="424"/>
      <c r="F81" s="422" t="s">
        <v>1378</v>
      </c>
      <c r="G81" s="423"/>
      <c r="H81" s="423"/>
      <c r="I81" s="425"/>
      <c r="J81" s="722"/>
      <c r="K81" s="395" t="s">
        <v>1379</v>
      </c>
    </row>
    <row r="82" spans="1:11" ht="16.5" customHeight="1" hidden="1">
      <c r="A82" s="421" t="s">
        <v>345</v>
      </c>
      <c r="B82" s="422" t="s">
        <v>1009</v>
      </c>
      <c r="C82" s="423">
        <v>0</v>
      </c>
      <c r="D82" s="423">
        <v>0</v>
      </c>
      <c r="E82" s="424">
        <v>0</v>
      </c>
      <c r="F82" s="422" t="s">
        <v>1380</v>
      </c>
      <c r="G82" s="423"/>
      <c r="H82" s="423"/>
      <c r="I82" s="425"/>
      <c r="J82" s="722"/>
      <c r="K82" s="395" t="s">
        <v>1381</v>
      </c>
    </row>
    <row r="83" spans="1:11" ht="16.5" customHeight="1" hidden="1">
      <c r="A83" s="421" t="s">
        <v>346</v>
      </c>
      <c r="B83" s="426" t="s">
        <v>630</v>
      </c>
      <c r="C83" s="423">
        <v>0</v>
      </c>
      <c r="D83" s="423">
        <v>0</v>
      </c>
      <c r="E83" s="424">
        <v>0</v>
      </c>
      <c r="F83" s="422" t="s">
        <v>1382</v>
      </c>
      <c r="G83" s="423"/>
      <c r="H83" s="423"/>
      <c r="I83" s="425"/>
      <c r="J83" s="722"/>
      <c r="K83" s="395" t="s">
        <v>1383</v>
      </c>
    </row>
    <row r="84" spans="1:11" ht="16.5" customHeight="1" hidden="1" thickBot="1">
      <c r="A84" s="427" t="s">
        <v>347</v>
      </c>
      <c r="B84" s="428"/>
      <c r="C84" s="429"/>
      <c r="D84" s="429"/>
      <c r="E84" s="430"/>
      <c r="F84" s="428"/>
      <c r="G84" s="429"/>
      <c r="H84" s="429"/>
      <c r="I84" s="431"/>
      <c r="J84" s="722"/>
      <c r="K84" s="395" t="s">
        <v>1384</v>
      </c>
    </row>
    <row r="85" spans="1:11" s="437" customFormat="1" ht="16.5" customHeight="1" hidden="1" thickBot="1">
      <c r="A85" s="432" t="s">
        <v>996</v>
      </c>
      <c r="B85" s="433" t="s">
        <v>1385</v>
      </c>
      <c r="C85" s="434">
        <f>SUM(C78:C84)</f>
        <v>0</v>
      </c>
      <c r="D85" s="434">
        <f>SUM(D78:D84)</f>
        <v>0</v>
      </c>
      <c r="E85" s="468">
        <f>SUM(E78:E84)</f>
        <v>0</v>
      </c>
      <c r="F85" s="433" t="s">
        <v>1386</v>
      </c>
      <c r="G85" s="434">
        <f>SUM(G78:G84)</f>
        <v>0</v>
      </c>
      <c r="H85" s="434">
        <f>SUM(H78:H84)</f>
        <v>0</v>
      </c>
      <c r="I85" s="435">
        <f>SUM(I78:I84)</f>
        <v>0</v>
      </c>
      <c r="J85" s="722"/>
      <c r="K85" s="436"/>
    </row>
    <row r="86" spans="1:10" ht="16.5" customHeight="1" hidden="1">
      <c r="A86" s="438" t="s">
        <v>348</v>
      </c>
      <c r="B86" s="439" t="s">
        <v>1387</v>
      </c>
      <c r="C86" s="440">
        <v>0</v>
      </c>
      <c r="D86" s="440">
        <v>0</v>
      </c>
      <c r="E86" s="441">
        <v>0</v>
      </c>
      <c r="F86" s="442" t="s">
        <v>1388</v>
      </c>
      <c r="G86" s="440"/>
      <c r="H86" s="440"/>
      <c r="I86" s="443"/>
      <c r="J86" s="722"/>
    </row>
    <row r="87" spans="1:10" ht="16.5" customHeight="1" hidden="1">
      <c r="A87" s="421" t="s">
        <v>349</v>
      </c>
      <c r="B87" s="444" t="s">
        <v>1389</v>
      </c>
      <c r="C87" s="423">
        <v>0</v>
      </c>
      <c r="D87" s="423">
        <v>0</v>
      </c>
      <c r="E87" s="445">
        <v>0</v>
      </c>
      <c r="F87" s="446" t="s">
        <v>1390</v>
      </c>
      <c r="G87" s="423"/>
      <c r="H87" s="423"/>
      <c r="I87" s="425"/>
      <c r="J87" s="722"/>
    </row>
    <row r="88" spans="1:10" ht="16.5" customHeight="1" hidden="1">
      <c r="A88" s="421" t="s">
        <v>350</v>
      </c>
      <c r="B88" s="447" t="s">
        <v>1391</v>
      </c>
      <c r="C88" s="423"/>
      <c r="D88" s="423"/>
      <c r="E88" s="445"/>
      <c r="F88" s="448" t="s">
        <v>789</v>
      </c>
      <c r="G88" s="423"/>
      <c r="H88" s="423"/>
      <c r="I88" s="425"/>
      <c r="J88" s="722"/>
    </row>
    <row r="89" spans="1:10" ht="16.5" customHeight="1" hidden="1">
      <c r="A89" s="421" t="s">
        <v>351</v>
      </c>
      <c r="B89" s="449" t="s">
        <v>1392</v>
      </c>
      <c r="C89" s="423"/>
      <c r="D89" s="423"/>
      <c r="E89" s="445"/>
      <c r="F89" s="446" t="s">
        <v>1393</v>
      </c>
      <c r="G89" s="423"/>
      <c r="H89" s="423"/>
      <c r="I89" s="425"/>
      <c r="J89" s="722"/>
    </row>
    <row r="90" spans="1:10" ht="16.5" customHeight="1" hidden="1">
      <c r="A90" s="421" t="s">
        <v>352</v>
      </c>
      <c r="B90" s="444" t="s">
        <v>1394</v>
      </c>
      <c r="C90" s="423"/>
      <c r="D90" s="423"/>
      <c r="E90" s="445"/>
      <c r="F90" s="446" t="s">
        <v>1395</v>
      </c>
      <c r="G90" s="423"/>
      <c r="H90" s="423"/>
      <c r="I90" s="425"/>
      <c r="J90" s="722"/>
    </row>
    <row r="91" spans="1:10" ht="16.5" customHeight="1" hidden="1">
      <c r="A91" s="421" t="s">
        <v>353</v>
      </c>
      <c r="B91" s="448" t="s">
        <v>851</v>
      </c>
      <c r="C91" s="423"/>
      <c r="D91" s="423"/>
      <c r="E91" s="445"/>
      <c r="F91" s="446"/>
      <c r="G91" s="423"/>
      <c r="H91" s="423"/>
      <c r="I91" s="425"/>
      <c r="J91" s="722"/>
    </row>
    <row r="92" spans="1:10" ht="16.5" customHeight="1" hidden="1" thickBot="1">
      <c r="A92" s="421" t="s">
        <v>998</v>
      </c>
      <c r="B92" s="444"/>
      <c r="C92" s="423"/>
      <c r="D92" s="423"/>
      <c r="E92" s="445"/>
      <c r="F92" s="450"/>
      <c r="G92" s="423"/>
      <c r="H92" s="423"/>
      <c r="I92" s="425"/>
      <c r="J92" s="722"/>
    </row>
    <row r="93" spans="1:11" ht="23.25" customHeight="1" hidden="1" thickBot="1">
      <c r="A93" s="451" t="s">
        <v>1396</v>
      </c>
      <c r="B93" s="452" t="s">
        <v>1397</v>
      </c>
      <c r="C93" s="453">
        <f>SUM(C86:C92)</f>
        <v>0</v>
      </c>
      <c r="D93" s="453">
        <f>SUM(D86:D92)</f>
        <v>0</v>
      </c>
      <c r="E93" s="454">
        <f>SUM(E86:E92)</f>
        <v>0</v>
      </c>
      <c r="F93" s="452" t="s">
        <v>1397</v>
      </c>
      <c r="G93" s="453">
        <f>SUM(G86:G92)</f>
        <v>0</v>
      </c>
      <c r="H93" s="453">
        <f>SUM(H86:H92)</f>
        <v>0</v>
      </c>
      <c r="I93" s="455">
        <f>SUM(I86:I92)</f>
        <v>0</v>
      </c>
      <c r="J93" s="722"/>
      <c r="K93" s="395" t="s">
        <v>1398</v>
      </c>
    </row>
    <row r="94" spans="1:11" ht="16.5" customHeight="1" hidden="1">
      <c r="A94" s="456" t="s">
        <v>999</v>
      </c>
      <c r="B94" s="457" t="s">
        <v>1399</v>
      </c>
      <c r="C94" s="458">
        <v>0</v>
      </c>
      <c r="D94" s="458">
        <v>0</v>
      </c>
      <c r="E94" s="445">
        <v>0</v>
      </c>
      <c r="F94" s="457" t="s">
        <v>895</v>
      </c>
      <c r="G94" s="458"/>
      <c r="H94" s="458"/>
      <c r="I94" s="459"/>
      <c r="J94" s="722"/>
      <c r="K94" s="395" t="s">
        <v>1400</v>
      </c>
    </row>
    <row r="95" spans="1:11" ht="16.5" customHeight="1" hidden="1">
      <c r="A95" s="456" t="s">
        <v>1000</v>
      </c>
      <c r="B95" s="422" t="s">
        <v>1401</v>
      </c>
      <c r="C95" s="458">
        <v>0</v>
      </c>
      <c r="D95" s="458">
        <v>0</v>
      </c>
      <c r="E95" s="445">
        <v>0</v>
      </c>
      <c r="F95" s="422" t="s">
        <v>1402</v>
      </c>
      <c r="G95" s="458"/>
      <c r="H95" s="458"/>
      <c r="I95" s="459"/>
      <c r="J95" s="722"/>
      <c r="K95" s="395" t="s">
        <v>1403</v>
      </c>
    </row>
    <row r="96" spans="1:11" ht="16.5" customHeight="1" hidden="1">
      <c r="A96" s="456" t="s">
        <v>1001</v>
      </c>
      <c r="B96" s="422" t="s">
        <v>1404</v>
      </c>
      <c r="C96" s="458">
        <v>0</v>
      </c>
      <c r="D96" s="458">
        <v>0</v>
      </c>
      <c r="E96" s="445">
        <v>0</v>
      </c>
      <c r="F96" s="422" t="s">
        <v>1405</v>
      </c>
      <c r="G96" s="458"/>
      <c r="H96" s="458"/>
      <c r="I96" s="459"/>
      <c r="J96" s="722"/>
      <c r="K96" s="395" t="s">
        <v>1406</v>
      </c>
    </row>
    <row r="97" spans="1:11" ht="16.5" customHeight="1" hidden="1">
      <c r="A97" s="456" t="s">
        <v>1080</v>
      </c>
      <c r="B97" s="422" t="s">
        <v>1407</v>
      </c>
      <c r="C97" s="458">
        <v>0</v>
      </c>
      <c r="D97" s="458">
        <v>0</v>
      </c>
      <c r="E97" s="445">
        <v>0</v>
      </c>
      <c r="F97" s="422" t="s">
        <v>576</v>
      </c>
      <c r="G97" s="458"/>
      <c r="H97" s="458"/>
      <c r="I97" s="459"/>
      <c r="J97" s="722"/>
      <c r="K97" s="395" t="s">
        <v>1408</v>
      </c>
    </row>
    <row r="98" spans="1:11" ht="16.5" customHeight="1" hidden="1">
      <c r="A98" s="456" t="s">
        <v>1081</v>
      </c>
      <c r="B98" s="422" t="s">
        <v>1409</v>
      </c>
      <c r="C98" s="458">
        <v>0</v>
      </c>
      <c r="D98" s="458">
        <v>0</v>
      </c>
      <c r="E98" s="445">
        <v>0</v>
      </c>
      <c r="F98" s="422" t="s">
        <v>896</v>
      </c>
      <c r="G98" s="458"/>
      <c r="H98" s="458"/>
      <c r="I98" s="459"/>
      <c r="J98" s="722"/>
      <c r="K98" s="395" t="s">
        <v>1410</v>
      </c>
    </row>
    <row r="99" spans="1:11" ht="16.5" customHeight="1" hidden="1">
      <c r="A99" s="456" t="s">
        <v>1082</v>
      </c>
      <c r="B99" s="426"/>
      <c r="C99" s="458"/>
      <c r="D99" s="458"/>
      <c r="E99" s="445"/>
      <c r="F99" s="422" t="s">
        <v>322</v>
      </c>
      <c r="G99" s="458"/>
      <c r="H99" s="458"/>
      <c r="I99" s="459"/>
      <c r="J99" s="722"/>
      <c r="K99" s="395" t="s">
        <v>1411</v>
      </c>
    </row>
    <row r="100" spans="1:11" ht="16.5" customHeight="1" hidden="1" thickBot="1">
      <c r="A100" s="456" t="s">
        <v>1083</v>
      </c>
      <c r="B100" s="444"/>
      <c r="C100" s="458"/>
      <c r="D100" s="458"/>
      <c r="E100" s="445"/>
      <c r="F100" s="426" t="s">
        <v>1412</v>
      </c>
      <c r="G100" s="458"/>
      <c r="H100" s="458"/>
      <c r="I100" s="459"/>
      <c r="J100" s="722"/>
      <c r="K100" s="395" t="s">
        <v>1413</v>
      </c>
    </row>
    <row r="101" spans="1:11" ht="18" customHeight="1" hidden="1" thickBot="1">
      <c r="A101" s="451" t="s">
        <v>1414</v>
      </c>
      <c r="B101" s="452" t="s">
        <v>1415</v>
      </c>
      <c r="C101" s="453">
        <f>SUM(C94:C100)</f>
        <v>0</v>
      </c>
      <c r="D101" s="453">
        <f>SUM(D94:D100)</f>
        <v>0</v>
      </c>
      <c r="E101" s="454">
        <f>SUM(E94:E100)</f>
        <v>0</v>
      </c>
      <c r="F101" s="452" t="s">
        <v>1415</v>
      </c>
      <c r="G101" s="453">
        <f>SUM(G94:G100)</f>
        <v>0</v>
      </c>
      <c r="H101" s="453">
        <f>SUM(H94:H100)</f>
        <v>0</v>
      </c>
      <c r="I101" s="455">
        <f>SUM(I94:I100)</f>
        <v>0</v>
      </c>
      <c r="J101" s="723"/>
      <c r="K101" s="395" t="s">
        <v>1416</v>
      </c>
    </row>
    <row r="102" spans="1:11" ht="16.5" customHeight="1" hidden="1" thickBot="1">
      <c r="A102" s="451"/>
      <c r="B102" s="460" t="s">
        <v>1417</v>
      </c>
      <c r="C102" s="469">
        <f>C101+C93+C85</f>
        <v>0</v>
      </c>
      <c r="D102" s="469">
        <f>D101+D93+D85</f>
        <v>0</v>
      </c>
      <c r="E102" s="470">
        <f>E101+E93+E85</f>
        <v>0</v>
      </c>
      <c r="F102" s="460" t="s">
        <v>1419</v>
      </c>
      <c r="G102" s="469">
        <f>G101+G93+G85</f>
        <v>0</v>
      </c>
      <c r="H102" s="469">
        <f>H101+H93+H85</f>
        <v>0</v>
      </c>
      <c r="I102" s="471">
        <f>I101+I93+I85</f>
        <v>0</v>
      </c>
      <c r="J102" s="723"/>
      <c r="K102" s="395" t="s">
        <v>1420</v>
      </c>
    </row>
    <row r="103" spans="3:5" ht="15" hidden="1">
      <c r="C103" s="397">
        <f>'[2]BFeladat'!R107</f>
        <v>0</v>
      </c>
      <c r="D103" s="397">
        <f>'[2]BFeladat'!S107</f>
        <v>0</v>
      </c>
      <c r="E103" s="397">
        <f>'[2]BFeladat'!U107</f>
        <v>7848263</v>
      </c>
    </row>
    <row r="104" ht="15" hidden="1">
      <c r="B104" s="465" t="s">
        <v>1421</v>
      </c>
    </row>
    <row r="105" ht="15" hidden="1"/>
    <row r="106" spans="2:6" ht="15" hidden="1">
      <c r="B106" s="466"/>
      <c r="F106" s="467"/>
    </row>
    <row r="107" spans="2:6" ht="15" hidden="1">
      <c r="B107" s="396" t="s">
        <v>909</v>
      </c>
      <c r="F107" s="396" t="s">
        <v>910</v>
      </c>
    </row>
    <row r="109" spans="2:10" ht="31.5" customHeight="1">
      <c r="B109" s="392" t="s">
        <v>1424</v>
      </c>
      <c r="C109" s="393"/>
      <c r="D109" s="393"/>
      <c r="E109" s="393"/>
      <c r="F109" s="394"/>
      <c r="G109" s="394"/>
      <c r="H109" s="394"/>
      <c r="I109" s="394"/>
      <c r="J109" s="719" t="s">
        <v>1549</v>
      </c>
    </row>
    <row r="110" spans="7:10" ht="15.75" thickBot="1">
      <c r="G110" s="398"/>
      <c r="H110" s="398"/>
      <c r="I110" s="398" t="s">
        <v>1364</v>
      </c>
      <c r="J110" s="719"/>
    </row>
    <row r="111" spans="1:10" ht="18" customHeight="1" thickBot="1">
      <c r="A111" s="720" t="s">
        <v>373</v>
      </c>
      <c r="B111" s="399" t="s">
        <v>1365</v>
      </c>
      <c r="C111" s="400"/>
      <c r="D111" s="400"/>
      <c r="E111" s="401"/>
      <c r="F111" s="399" t="s">
        <v>1366</v>
      </c>
      <c r="G111" s="402"/>
      <c r="H111" s="402"/>
      <c r="I111" s="402"/>
      <c r="J111" s="719"/>
    </row>
    <row r="112" spans="1:11" s="408" customFormat="1" ht="35.25" customHeight="1" thickBot="1">
      <c r="A112" s="721"/>
      <c r="B112" s="403" t="s">
        <v>1012</v>
      </c>
      <c r="C112" s="404" t="s">
        <v>1535</v>
      </c>
      <c r="D112" s="405" t="s">
        <v>1536</v>
      </c>
      <c r="E112" s="406" t="s">
        <v>1537</v>
      </c>
      <c r="F112" s="403" t="s">
        <v>1012</v>
      </c>
      <c r="G112" s="404" t="s">
        <v>1535</v>
      </c>
      <c r="H112" s="405" t="s">
        <v>1536</v>
      </c>
      <c r="I112" s="406" t="s">
        <v>1537</v>
      </c>
      <c r="J112" s="719"/>
      <c r="K112" s="407"/>
    </row>
    <row r="113" spans="1:11" s="415" customFormat="1" ht="12" customHeight="1" thickBot="1">
      <c r="A113" s="409" t="s">
        <v>988</v>
      </c>
      <c r="B113" s="410" t="s">
        <v>989</v>
      </c>
      <c r="C113" s="411" t="s">
        <v>990</v>
      </c>
      <c r="D113" s="411" t="s">
        <v>991</v>
      </c>
      <c r="E113" s="412" t="s">
        <v>992</v>
      </c>
      <c r="F113" s="410" t="s">
        <v>993</v>
      </c>
      <c r="G113" s="411" t="s">
        <v>994</v>
      </c>
      <c r="H113" s="411" t="s">
        <v>995</v>
      </c>
      <c r="I113" s="413" t="s">
        <v>996</v>
      </c>
      <c r="J113" s="719"/>
      <c r="K113" s="414"/>
    </row>
    <row r="114" spans="1:11" ht="16.5" customHeight="1">
      <c r="A114" s="416" t="s">
        <v>341</v>
      </c>
      <c r="B114" s="417" t="s">
        <v>1370</v>
      </c>
      <c r="C114" s="418"/>
      <c r="D114" s="418"/>
      <c r="E114" s="419"/>
      <c r="F114" s="417" t="s">
        <v>1371</v>
      </c>
      <c r="G114" s="418">
        <f>Kiadások!AF28</f>
        <v>58408000</v>
      </c>
      <c r="H114" s="418"/>
      <c r="I114" s="420"/>
      <c r="J114" s="719"/>
      <c r="K114" s="395" t="s">
        <v>1372</v>
      </c>
    </row>
    <row r="115" spans="1:11" ht="16.5" customHeight="1">
      <c r="A115" s="421" t="s">
        <v>342</v>
      </c>
      <c r="B115" s="422" t="s">
        <v>1373</v>
      </c>
      <c r="C115" s="423">
        <f>Bevételek!AB22</f>
        <v>102320000</v>
      </c>
      <c r="D115" s="423"/>
      <c r="E115" s="424"/>
      <c r="F115" s="422" t="s">
        <v>1374</v>
      </c>
      <c r="G115" s="423">
        <f>Kiadások!AF29</f>
        <v>11317000</v>
      </c>
      <c r="H115" s="423"/>
      <c r="I115" s="425"/>
      <c r="J115" s="719"/>
      <c r="K115" s="395" t="s">
        <v>1375</v>
      </c>
    </row>
    <row r="116" spans="1:11" ht="16.5" customHeight="1">
      <c r="A116" s="421" t="s">
        <v>343</v>
      </c>
      <c r="B116" s="422" t="s">
        <v>1008</v>
      </c>
      <c r="C116" s="423"/>
      <c r="D116" s="423"/>
      <c r="E116" s="424"/>
      <c r="F116" s="422" t="s">
        <v>1376</v>
      </c>
      <c r="G116" s="423">
        <f>Kiadások!AF54</f>
        <v>16855000</v>
      </c>
      <c r="H116" s="423"/>
      <c r="I116" s="425"/>
      <c r="J116" s="719"/>
      <c r="K116" s="395" t="s">
        <v>1377</v>
      </c>
    </row>
    <row r="117" spans="1:11" ht="16.5" customHeight="1">
      <c r="A117" s="421" t="s">
        <v>344</v>
      </c>
      <c r="B117" s="422" t="s">
        <v>708</v>
      </c>
      <c r="C117" s="423"/>
      <c r="D117" s="423"/>
      <c r="E117" s="423"/>
      <c r="F117" s="422" t="s">
        <v>1378</v>
      </c>
      <c r="G117" s="423"/>
      <c r="H117" s="423"/>
      <c r="I117" s="425"/>
      <c r="J117" s="719"/>
      <c r="K117" s="395" t="s">
        <v>1379</v>
      </c>
    </row>
    <row r="118" spans="1:11" ht="16.5" customHeight="1">
      <c r="A118" s="421" t="s">
        <v>345</v>
      </c>
      <c r="B118" s="422" t="s">
        <v>1009</v>
      </c>
      <c r="C118" s="423"/>
      <c r="D118" s="423"/>
      <c r="E118" s="424"/>
      <c r="F118" s="422" t="s">
        <v>1380</v>
      </c>
      <c r="G118" s="423">
        <f>Kiadások!AC67</f>
        <v>3000000</v>
      </c>
      <c r="H118" s="423"/>
      <c r="I118" s="425"/>
      <c r="J118" s="719"/>
      <c r="K118" s="395" t="s">
        <v>1381</v>
      </c>
    </row>
    <row r="119" spans="1:11" ht="16.5" customHeight="1">
      <c r="A119" s="421" t="s">
        <v>346</v>
      </c>
      <c r="B119" s="426" t="s">
        <v>630</v>
      </c>
      <c r="C119" s="423"/>
      <c r="D119" s="423"/>
      <c r="E119" s="424"/>
      <c r="F119" s="422" t="s">
        <v>1382</v>
      </c>
      <c r="G119" s="423"/>
      <c r="H119" s="423"/>
      <c r="I119" s="425"/>
      <c r="J119" s="719"/>
      <c r="K119" s="395" t="s">
        <v>1383</v>
      </c>
    </row>
    <row r="120" spans="1:11" ht="16.5" customHeight="1" thickBot="1">
      <c r="A120" s="427" t="s">
        <v>347</v>
      </c>
      <c r="B120" s="428"/>
      <c r="C120" s="429"/>
      <c r="D120" s="429"/>
      <c r="E120" s="430"/>
      <c r="F120" s="428"/>
      <c r="G120" s="429"/>
      <c r="H120" s="429"/>
      <c r="I120" s="431"/>
      <c r="J120" s="719"/>
      <c r="K120" s="395" t="s">
        <v>1384</v>
      </c>
    </row>
    <row r="121" spans="1:11" s="437" customFormat="1" ht="16.5" customHeight="1" thickBot="1">
      <c r="A121" s="432" t="s">
        <v>996</v>
      </c>
      <c r="B121" s="433" t="s">
        <v>1385</v>
      </c>
      <c r="C121" s="434">
        <f>SUM(C114:C120)</f>
        <v>102320000</v>
      </c>
      <c r="D121" s="434">
        <f>SUM(D114:D120)</f>
        <v>0</v>
      </c>
      <c r="E121" s="468">
        <f>SUM(E114:E120)</f>
        <v>0</v>
      </c>
      <c r="F121" s="433" t="s">
        <v>1386</v>
      </c>
      <c r="G121" s="434">
        <f>SUM(G114:G120)</f>
        <v>89580000</v>
      </c>
      <c r="H121" s="434">
        <f>SUM(H114:H120)</f>
        <v>0</v>
      </c>
      <c r="I121" s="435">
        <f>SUM(I114:I120)</f>
        <v>0</v>
      </c>
      <c r="J121" s="719"/>
      <c r="K121" s="436"/>
    </row>
    <row r="122" spans="1:10" ht="16.5" customHeight="1">
      <c r="A122" s="438" t="s">
        <v>348</v>
      </c>
      <c r="B122" s="439" t="s">
        <v>1387</v>
      </c>
      <c r="C122" s="440"/>
      <c r="D122" s="440"/>
      <c r="E122" s="441"/>
      <c r="F122" s="442" t="s">
        <v>1388</v>
      </c>
      <c r="G122" s="440"/>
      <c r="H122" s="440"/>
      <c r="I122" s="443"/>
      <c r="J122" s="719"/>
    </row>
    <row r="123" spans="1:10" ht="16.5" customHeight="1">
      <c r="A123" s="421" t="s">
        <v>349</v>
      </c>
      <c r="B123" s="444" t="s">
        <v>1389</v>
      </c>
      <c r="C123" s="423"/>
      <c r="D123" s="423"/>
      <c r="E123" s="445"/>
      <c r="F123" s="446" t="s">
        <v>1390</v>
      </c>
      <c r="G123" s="423"/>
      <c r="H123" s="423"/>
      <c r="I123" s="425"/>
      <c r="J123" s="719"/>
    </row>
    <row r="124" spans="1:10" ht="16.5" customHeight="1">
      <c r="A124" s="421" t="s">
        <v>350</v>
      </c>
      <c r="B124" s="448" t="s">
        <v>851</v>
      </c>
      <c r="C124" s="423">
        <v>-12740000</v>
      </c>
      <c r="D124" s="423"/>
      <c r="E124" s="445"/>
      <c r="F124" s="448" t="s">
        <v>789</v>
      </c>
      <c r="G124" s="423">
        <v>0</v>
      </c>
      <c r="H124" s="423"/>
      <c r="I124" s="425"/>
      <c r="J124" s="719"/>
    </row>
    <row r="125" spans="1:10" ht="16.5" customHeight="1">
      <c r="A125" s="421" t="s">
        <v>351</v>
      </c>
      <c r="B125" s="449" t="s">
        <v>1392</v>
      </c>
      <c r="C125" s="423"/>
      <c r="D125" s="423"/>
      <c r="E125" s="445"/>
      <c r="F125" s="446" t="s">
        <v>1393</v>
      </c>
      <c r="G125" s="423"/>
      <c r="H125" s="423"/>
      <c r="I125" s="425"/>
      <c r="J125" s="719"/>
    </row>
    <row r="126" spans="1:10" ht="16.5" customHeight="1">
      <c r="A126" s="421" t="s">
        <v>352</v>
      </c>
      <c r="B126" s="444" t="s">
        <v>1394</v>
      </c>
      <c r="C126" s="423"/>
      <c r="D126" s="423"/>
      <c r="E126" s="445"/>
      <c r="F126" s="446" t="s">
        <v>1395</v>
      </c>
      <c r="G126" s="423"/>
      <c r="H126" s="423"/>
      <c r="I126" s="425"/>
      <c r="J126" s="719"/>
    </row>
    <row r="127" spans="1:10" ht="16.5" customHeight="1">
      <c r="A127" s="421" t="s">
        <v>353</v>
      </c>
      <c r="B127" s="447" t="s">
        <v>1391</v>
      </c>
      <c r="C127" s="423"/>
      <c r="D127" s="423"/>
      <c r="E127" s="445"/>
      <c r="F127" s="446"/>
      <c r="G127" s="423"/>
      <c r="H127" s="423"/>
      <c r="I127" s="425"/>
      <c r="J127" s="719"/>
    </row>
    <row r="128" spans="1:10" ht="16.5" customHeight="1" thickBot="1">
      <c r="A128" s="421" t="s">
        <v>998</v>
      </c>
      <c r="B128" s="444"/>
      <c r="C128" s="423"/>
      <c r="D128" s="423"/>
      <c r="E128" s="445"/>
      <c r="F128" s="450"/>
      <c r="G128" s="423"/>
      <c r="H128" s="423"/>
      <c r="I128" s="425"/>
      <c r="J128" s="719"/>
    </row>
    <row r="129" spans="1:11" ht="23.25" customHeight="1" thickBot="1">
      <c r="A129" s="451" t="s">
        <v>1396</v>
      </c>
      <c r="B129" s="452" t="s">
        <v>1397</v>
      </c>
      <c r="C129" s="453">
        <f>SUM(C122:C128)</f>
        <v>-12740000</v>
      </c>
      <c r="D129" s="453">
        <f>SUM(D122:D128)</f>
        <v>0</v>
      </c>
      <c r="E129" s="454">
        <f>SUM(E122:E128)</f>
        <v>0</v>
      </c>
      <c r="F129" s="452" t="s">
        <v>1397</v>
      </c>
      <c r="G129" s="453">
        <f>SUM(G122:G128)</f>
        <v>0</v>
      </c>
      <c r="H129" s="453">
        <f>SUM(H122:H128)</f>
        <v>0</v>
      </c>
      <c r="I129" s="455">
        <f>SUM(I122:I128)</f>
        <v>0</v>
      </c>
      <c r="J129" s="719"/>
      <c r="K129" s="395" t="s">
        <v>1398</v>
      </c>
    </row>
    <row r="130" spans="1:11" ht="16.5" customHeight="1">
      <c r="A130" s="456" t="s">
        <v>999</v>
      </c>
      <c r="B130" s="457" t="s">
        <v>1399</v>
      </c>
      <c r="C130" s="458"/>
      <c r="D130" s="458"/>
      <c r="E130" s="445"/>
      <c r="F130" s="457" t="s">
        <v>895</v>
      </c>
      <c r="G130" s="458"/>
      <c r="H130" s="458"/>
      <c r="I130" s="459"/>
      <c r="J130" s="719"/>
      <c r="K130" s="395" t="s">
        <v>1400</v>
      </c>
    </row>
    <row r="131" spans="1:11" ht="16.5" customHeight="1">
      <c r="A131" s="456" t="s">
        <v>1000</v>
      </c>
      <c r="B131" s="422" t="s">
        <v>1401</v>
      </c>
      <c r="C131" s="458"/>
      <c r="D131" s="458"/>
      <c r="E131" s="445"/>
      <c r="F131" s="422" t="s">
        <v>1402</v>
      </c>
      <c r="G131" s="458"/>
      <c r="H131" s="458"/>
      <c r="I131" s="458"/>
      <c r="J131" s="719"/>
      <c r="K131" s="395" t="s">
        <v>1403</v>
      </c>
    </row>
    <row r="132" spans="1:11" ht="16.5" customHeight="1">
      <c r="A132" s="456" t="s">
        <v>1001</v>
      </c>
      <c r="B132" s="422" t="s">
        <v>1404</v>
      </c>
      <c r="C132" s="458"/>
      <c r="D132" s="458"/>
      <c r="E132" s="445"/>
      <c r="F132" s="422" t="s">
        <v>1405</v>
      </c>
      <c r="G132" s="458"/>
      <c r="H132" s="458"/>
      <c r="I132" s="459"/>
      <c r="J132" s="719"/>
      <c r="K132" s="395" t="s">
        <v>1406</v>
      </c>
    </row>
    <row r="133" spans="1:11" ht="16.5" customHeight="1">
      <c r="A133" s="456" t="s">
        <v>1080</v>
      </c>
      <c r="B133" s="422" t="s">
        <v>1407</v>
      </c>
      <c r="C133" s="458"/>
      <c r="D133" s="458"/>
      <c r="E133" s="445"/>
      <c r="F133" s="422" t="s">
        <v>576</v>
      </c>
      <c r="G133" s="458"/>
      <c r="H133" s="458"/>
      <c r="I133" s="459"/>
      <c r="J133" s="719"/>
      <c r="K133" s="395" t="s">
        <v>1408</v>
      </c>
    </row>
    <row r="134" spans="1:11" ht="16.5" customHeight="1">
      <c r="A134" s="456" t="s">
        <v>1081</v>
      </c>
      <c r="B134" s="422" t="s">
        <v>1409</v>
      </c>
      <c r="C134" s="458"/>
      <c r="D134" s="458"/>
      <c r="E134" s="445"/>
      <c r="F134" s="422" t="s">
        <v>896</v>
      </c>
      <c r="G134" s="458"/>
      <c r="H134" s="458"/>
      <c r="I134" s="459"/>
      <c r="J134" s="719"/>
      <c r="K134" s="395" t="s">
        <v>1410</v>
      </c>
    </row>
    <row r="135" spans="1:11" ht="16.5" customHeight="1">
      <c r="A135" s="456" t="s">
        <v>1082</v>
      </c>
      <c r="B135" s="426"/>
      <c r="C135" s="458"/>
      <c r="D135" s="458"/>
      <c r="E135" s="445"/>
      <c r="F135" s="422" t="s">
        <v>322</v>
      </c>
      <c r="G135" s="458"/>
      <c r="H135" s="458"/>
      <c r="I135" s="458"/>
      <c r="J135" s="719"/>
      <c r="K135" s="395" t="s">
        <v>1411</v>
      </c>
    </row>
    <row r="136" spans="1:11" ht="16.5" customHeight="1" thickBot="1">
      <c r="A136" s="456" t="s">
        <v>1083</v>
      </c>
      <c r="B136" s="444"/>
      <c r="C136" s="458"/>
      <c r="D136" s="458"/>
      <c r="E136" s="445"/>
      <c r="F136" s="426" t="s">
        <v>1412</v>
      </c>
      <c r="G136" s="458"/>
      <c r="H136" s="458"/>
      <c r="I136" s="459"/>
      <c r="J136" s="719"/>
      <c r="K136" s="395" t="s">
        <v>1413</v>
      </c>
    </row>
    <row r="137" spans="1:11" ht="18" customHeight="1" thickBot="1">
      <c r="A137" s="451" t="s">
        <v>1414</v>
      </c>
      <c r="B137" s="452" t="s">
        <v>1415</v>
      </c>
      <c r="C137" s="453">
        <f>SUM(C130:C136)</f>
        <v>0</v>
      </c>
      <c r="D137" s="453">
        <f>SUM(D130:D136)</f>
        <v>0</v>
      </c>
      <c r="E137" s="454">
        <f>SUM(E130:E136)</f>
        <v>0</v>
      </c>
      <c r="F137" s="452" t="s">
        <v>1415</v>
      </c>
      <c r="G137" s="453">
        <f>SUM(G130:G136)</f>
        <v>0</v>
      </c>
      <c r="H137" s="453">
        <f>SUM(H130:H136)</f>
        <v>0</v>
      </c>
      <c r="I137" s="455">
        <f>SUM(I130:I136)</f>
        <v>0</v>
      </c>
      <c r="J137" s="719"/>
      <c r="K137" s="395" t="s">
        <v>1416</v>
      </c>
    </row>
    <row r="138" spans="1:11" ht="16.5" customHeight="1" thickBot="1">
      <c r="A138" s="451"/>
      <c r="B138" s="460" t="s">
        <v>1417</v>
      </c>
      <c r="C138" s="469">
        <f>C137+C129+C121</f>
        <v>89580000</v>
      </c>
      <c r="D138" s="469">
        <f>D137+D129+D121</f>
        <v>0</v>
      </c>
      <c r="E138" s="470">
        <f>E137+E129+E121</f>
        <v>0</v>
      </c>
      <c r="F138" s="460" t="s">
        <v>1419</v>
      </c>
      <c r="G138" s="469">
        <f>G137+G129+G121</f>
        <v>89580000</v>
      </c>
      <c r="H138" s="469">
        <f>H137+H129+H121</f>
        <v>0</v>
      </c>
      <c r="I138" s="471">
        <f>I137+I129+I121</f>
        <v>0</v>
      </c>
      <c r="J138" s="719"/>
      <c r="K138" s="395" t="s">
        <v>1420</v>
      </c>
    </row>
    <row r="140" ht="15">
      <c r="B140" s="6" t="s">
        <v>1543</v>
      </c>
    </row>
    <row r="142" spans="2:6" ht="15">
      <c r="B142" s="466"/>
      <c r="F142" s="467"/>
    </row>
    <row r="143" spans="2:6" ht="15">
      <c r="B143" s="396" t="s">
        <v>909</v>
      </c>
      <c r="F143" s="396" t="s">
        <v>910</v>
      </c>
    </row>
    <row r="145" spans="2:10" ht="31.5" customHeight="1">
      <c r="B145" s="392" t="s">
        <v>1425</v>
      </c>
      <c r="C145" s="393"/>
      <c r="D145" s="393"/>
      <c r="E145" s="393"/>
      <c r="F145" s="394"/>
      <c r="G145" s="394"/>
      <c r="H145" s="394"/>
      <c r="I145" s="394"/>
      <c r="J145" s="719" t="s">
        <v>1550</v>
      </c>
    </row>
    <row r="146" spans="7:10" ht="15.75" thickBot="1">
      <c r="G146" s="398"/>
      <c r="H146" s="398"/>
      <c r="I146" s="398" t="s">
        <v>1364</v>
      </c>
      <c r="J146" s="719"/>
    </row>
    <row r="147" spans="1:10" ht="18" customHeight="1" thickBot="1">
      <c r="A147" s="720" t="s">
        <v>373</v>
      </c>
      <c r="B147" s="399" t="s">
        <v>1365</v>
      </c>
      <c r="C147" s="400"/>
      <c r="D147" s="400"/>
      <c r="E147" s="401"/>
      <c r="F147" s="399" t="s">
        <v>1366</v>
      </c>
      <c r="G147" s="402"/>
      <c r="H147" s="402"/>
      <c r="I147" s="402"/>
      <c r="J147" s="719"/>
    </row>
    <row r="148" spans="1:11" s="408" customFormat="1" ht="35.25" customHeight="1" thickBot="1">
      <c r="A148" s="721"/>
      <c r="B148" s="403" t="s">
        <v>1012</v>
      </c>
      <c r="C148" s="404" t="s">
        <v>1535</v>
      </c>
      <c r="D148" s="405" t="s">
        <v>1536</v>
      </c>
      <c r="E148" s="406" t="s">
        <v>1537</v>
      </c>
      <c r="F148" s="403" t="s">
        <v>1012</v>
      </c>
      <c r="G148" s="404" t="s">
        <v>1535</v>
      </c>
      <c r="H148" s="405" t="s">
        <v>1536</v>
      </c>
      <c r="I148" s="406" t="s">
        <v>1537</v>
      </c>
      <c r="J148" s="719"/>
      <c r="K148" s="407"/>
    </row>
    <row r="149" spans="1:11" s="415" customFormat="1" ht="12" customHeight="1" thickBot="1">
      <c r="A149" s="409" t="s">
        <v>988</v>
      </c>
      <c r="B149" s="410" t="s">
        <v>989</v>
      </c>
      <c r="C149" s="411" t="s">
        <v>990</v>
      </c>
      <c r="D149" s="411" t="s">
        <v>991</v>
      </c>
      <c r="E149" s="412" t="s">
        <v>992</v>
      </c>
      <c r="F149" s="410" t="s">
        <v>993</v>
      </c>
      <c r="G149" s="411" t="s">
        <v>994</v>
      </c>
      <c r="H149" s="411" t="s">
        <v>995</v>
      </c>
      <c r="I149" s="413" t="s">
        <v>996</v>
      </c>
      <c r="J149" s="719"/>
      <c r="K149" s="414"/>
    </row>
    <row r="150" spans="1:11" ht="16.5" customHeight="1">
      <c r="A150" s="416" t="s">
        <v>341</v>
      </c>
      <c r="B150" s="417" t="s">
        <v>1370</v>
      </c>
      <c r="C150" s="418"/>
      <c r="D150" s="418"/>
      <c r="E150" s="419"/>
      <c r="F150" s="417" t="s">
        <v>1371</v>
      </c>
      <c r="G150" s="418">
        <f>Kiadások!AK28</f>
        <v>83300000</v>
      </c>
      <c r="H150" s="418"/>
      <c r="I150" s="420"/>
      <c r="J150" s="719"/>
      <c r="K150" s="395" t="s">
        <v>1372</v>
      </c>
    </row>
    <row r="151" spans="1:11" ht="16.5" customHeight="1">
      <c r="A151" s="421" t="s">
        <v>342</v>
      </c>
      <c r="B151" s="422" t="s">
        <v>1373</v>
      </c>
      <c r="C151" s="423">
        <f>Bevételek!AG22</f>
        <v>101430000</v>
      </c>
      <c r="D151" s="423"/>
      <c r="E151" s="423"/>
      <c r="F151" s="422" t="s">
        <v>1374</v>
      </c>
      <c r="G151" s="423">
        <f>Kiadások!AK29</f>
        <v>14496000</v>
      </c>
      <c r="H151" s="423"/>
      <c r="I151" s="425"/>
      <c r="J151" s="719"/>
      <c r="K151" s="395" t="s">
        <v>1375</v>
      </c>
    </row>
    <row r="152" spans="1:11" ht="16.5" customHeight="1">
      <c r="A152" s="421" t="s">
        <v>343</v>
      </c>
      <c r="B152" s="422" t="s">
        <v>1008</v>
      </c>
      <c r="C152" s="423"/>
      <c r="D152" s="423"/>
      <c r="E152" s="424"/>
      <c r="F152" s="422" t="s">
        <v>1376</v>
      </c>
      <c r="G152" s="423">
        <f>Kiadások!AK54</f>
        <v>16374000</v>
      </c>
      <c r="H152" s="423"/>
      <c r="I152" s="425"/>
      <c r="J152" s="719"/>
      <c r="K152" s="395" t="s">
        <v>1377</v>
      </c>
    </row>
    <row r="153" spans="1:11" ht="16.5" customHeight="1">
      <c r="A153" s="421" t="s">
        <v>344</v>
      </c>
      <c r="B153" s="422" t="s">
        <v>708</v>
      </c>
      <c r="C153" s="423"/>
      <c r="D153" s="423"/>
      <c r="E153" s="423"/>
      <c r="F153" s="422" t="s">
        <v>1378</v>
      </c>
      <c r="G153" s="423"/>
      <c r="H153" s="423"/>
      <c r="I153" s="425"/>
      <c r="J153" s="719"/>
      <c r="K153" s="395" t="s">
        <v>1379</v>
      </c>
    </row>
    <row r="154" spans="1:11" ht="16.5" customHeight="1">
      <c r="A154" s="421" t="s">
        <v>345</v>
      </c>
      <c r="B154" s="422" t="s">
        <v>1009</v>
      </c>
      <c r="C154" s="423"/>
      <c r="D154" s="423"/>
      <c r="E154" s="424"/>
      <c r="F154" s="422" t="s">
        <v>1380</v>
      </c>
      <c r="G154" s="423"/>
      <c r="H154" s="423"/>
      <c r="I154" s="425"/>
      <c r="J154" s="719"/>
      <c r="K154" s="395" t="s">
        <v>1381</v>
      </c>
    </row>
    <row r="155" spans="1:11" ht="16.5" customHeight="1">
      <c r="A155" s="421" t="s">
        <v>346</v>
      </c>
      <c r="B155" s="426" t="s">
        <v>630</v>
      </c>
      <c r="C155" s="423"/>
      <c r="D155" s="423"/>
      <c r="E155" s="424"/>
      <c r="F155" s="422" t="s">
        <v>1382</v>
      </c>
      <c r="G155" s="423"/>
      <c r="H155" s="423"/>
      <c r="I155" s="425"/>
      <c r="J155" s="719"/>
      <c r="K155" s="395" t="s">
        <v>1383</v>
      </c>
    </row>
    <row r="156" spans="1:11" ht="16.5" customHeight="1" thickBot="1">
      <c r="A156" s="427" t="s">
        <v>347</v>
      </c>
      <c r="B156" s="428"/>
      <c r="C156" s="429"/>
      <c r="D156" s="429"/>
      <c r="E156" s="430"/>
      <c r="F156" s="428"/>
      <c r="G156" s="429"/>
      <c r="H156" s="429"/>
      <c r="I156" s="431"/>
      <c r="J156" s="719"/>
      <c r="K156" s="395" t="s">
        <v>1384</v>
      </c>
    </row>
    <row r="157" spans="1:11" s="437" customFormat="1" ht="16.5" customHeight="1" thickBot="1">
      <c r="A157" s="432" t="s">
        <v>996</v>
      </c>
      <c r="B157" s="433" t="s">
        <v>1385</v>
      </c>
      <c r="C157" s="434">
        <f>SUM(C150:C156)</f>
        <v>101430000</v>
      </c>
      <c r="D157" s="434">
        <f>SUM(D150:D156)</f>
        <v>0</v>
      </c>
      <c r="E157" s="468">
        <f>SUM(E150:E156)</f>
        <v>0</v>
      </c>
      <c r="F157" s="433" t="s">
        <v>1386</v>
      </c>
      <c r="G157" s="434">
        <f>SUM(G150:G156)</f>
        <v>114170000</v>
      </c>
      <c r="H157" s="434">
        <f>SUM(H150:H156)</f>
        <v>0</v>
      </c>
      <c r="I157" s="435">
        <f>SUM(I150:I156)</f>
        <v>0</v>
      </c>
      <c r="J157" s="719"/>
      <c r="K157" s="436"/>
    </row>
    <row r="158" spans="1:10" ht="16.5" customHeight="1">
      <c r="A158" s="438" t="s">
        <v>348</v>
      </c>
      <c r="B158" s="439" t="s">
        <v>1387</v>
      </c>
      <c r="C158" s="440"/>
      <c r="D158" s="440"/>
      <c r="E158" s="441"/>
      <c r="F158" s="442" t="s">
        <v>1388</v>
      </c>
      <c r="G158" s="440"/>
      <c r="H158" s="440"/>
      <c r="I158" s="443"/>
      <c r="J158" s="719"/>
    </row>
    <row r="159" spans="1:10" ht="16.5" customHeight="1">
      <c r="A159" s="421" t="s">
        <v>349</v>
      </c>
      <c r="B159" s="444" t="s">
        <v>1389</v>
      </c>
      <c r="C159" s="423"/>
      <c r="D159" s="423"/>
      <c r="E159" s="445"/>
      <c r="F159" s="446" t="s">
        <v>1390</v>
      </c>
      <c r="G159" s="423"/>
      <c r="H159" s="423"/>
      <c r="I159" s="425"/>
      <c r="J159" s="719"/>
    </row>
    <row r="160" spans="1:10" ht="16.5" customHeight="1">
      <c r="A160" s="421" t="s">
        <v>350</v>
      </c>
      <c r="B160" s="448" t="s">
        <v>851</v>
      </c>
      <c r="C160" s="423"/>
      <c r="D160" s="423"/>
      <c r="E160" s="423"/>
      <c r="F160" s="448" t="s">
        <v>789</v>
      </c>
      <c r="G160" s="423"/>
      <c r="H160" s="423"/>
      <c r="I160" s="425"/>
      <c r="J160" s="719"/>
    </row>
    <row r="161" spans="1:10" ht="16.5" customHeight="1">
      <c r="A161" s="421" t="s">
        <v>351</v>
      </c>
      <c r="B161" s="449" t="s">
        <v>1392</v>
      </c>
      <c r="C161" s="423"/>
      <c r="D161" s="423"/>
      <c r="E161" s="445"/>
      <c r="F161" s="446" t="s">
        <v>1393</v>
      </c>
      <c r="G161" s="423"/>
      <c r="H161" s="423"/>
      <c r="I161" s="425"/>
      <c r="J161" s="719"/>
    </row>
    <row r="162" spans="1:10" ht="16.5" customHeight="1">
      <c r="A162" s="421" t="s">
        <v>352</v>
      </c>
      <c r="B162" s="444" t="s">
        <v>1394</v>
      </c>
      <c r="C162" s="423"/>
      <c r="D162" s="423"/>
      <c r="E162" s="445"/>
      <c r="F162" s="446" t="s">
        <v>1395</v>
      </c>
      <c r="G162" s="423"/>
      <c r="H162" s="423"/>
      <c r="I162" s="425"/>
      <c r="J162" s="719"/>
    </row>
    <row r="163" spans="1:10" ht="16.5" customHeight="1">
      <c r="A163" s="421" t="s">
        <v>353</v>
      </c>
      <c r="B163" s="447" t="s">
        <v>1391</v>
      </c>
      <c r="C163" s="423">
        <f>Bevételek!AH22</f>
        <v>12740000</v>
      </c>
      <c r="D163" s="423"/>
      <c r="E163" s="423"/>
      <c r="F163" s="446"/>
      <c r="G163" s="423"/>
      <c r="H163" s="423"/>
      <c r="I163" s="425"/>
      <c r="J163" s="719"/>
    </row>
    <row r="164" spans="1:10" ht="16.5" customHeight="1" thickBot="1">
      <c r="A164" s="421" t="s">
        <v>998</v>
      </c>
      <c r="B164" s="444"/>
      <c r="C164" s="423"/>
      <c r="D164" s="423"/>
      <c r="E164" s="445"/>
      <c r="F164" s="450"/>
      <c r="G164" s="423"/>
      <c r="H164" s="423"/>
      <c r="I164" s="425"/>
      <c r="J164" s="719"/>
    </row>
    <row r="165" spans="1:11" ht="23.25" customHeight="1" thickBot="1">
      <c r="A165" s="451" t="s">
        <v>1396</v>
      </c>
      <c r="B165" s="452" t="s">
        <v>1397</v>
      </c>
      <c r="C165" s="453">
        <f>SUM(C158:C164)</f>
        <v>12740000</v>
      </c>
      <c r="D165" s="453">
        <f>SUM(D158:D164)</f>
        <v>0</v>
      </c>
      <c r="E165" s="454">
        <f>SUM(E158:E164)</f>
        <v>0</v>
      </c>
      <c r="F165" s="452" t="s">
        <v>1397</v>
      </c>
      <c r="G165" s="453">
        <f>SUM(G158:G164)</f>
        <v>0</v>
      </c>
      <c r="H165" s="453">
        <f>SUM(H158:H164)</f>
        <v>0</v>
      </c>
      <c r="I165" s="455">
        <f>SUM(I158:I164)</f>
        <v>0</v>
      </c>
      <c r="J165" s="719"/>
      <c r="K165" s="395" t="s">
        <v>1398</v>
      </c>
    </row>
    <row r="166" spans="1:11" ht="16.5" customHeight="1">
      <c r="A166" s="456" t="s">
        <v>999</v>
      </c>
      <c r="B166" s="457" t="s">
        <v>1399</v>
      </c>
      <c r="C166" s="458"/>
      <c r="D166" s="458"/>
      <c r="E166" s="445"/>
      <c r="F166" s="457" t="s">
        <v>895</v>
      </c>
      <c r="G166" s="458"/>
      <c r="H166" s="458"/>
      <c r="I166" s="459"/>
      <c r="J166" s="719"/>
      <c r="K166" s="395" t="s">
        <v>1400</v>
      </c>
    </row>
    <row r="167" spans="1:11" ht="16.5" customHeight="1">
      <c r="A167" s="456" t="s">
        <v>1000</v>
      </c>
      <c r="B167" s="422" t="s">
        <v>1401</v>
      </c>
      <c r="C167" s="458"/>
      <c r="D167" s="458"/>
      <c r="E167" s="445"/>
      <c r="F167" s="422" t="s">
        <v>1402</v>
      </c>
      <c r="G167" s="458"/>
      <c r="H167" s="458"/>
      <c r="I167" s="458"/>
      <c r="J167" s="719"/>
      <c r="K167" s="395" t="s">
        <v>1403</v>
      </c>
    </row>
    <row r="168" spans="1:11" ht="16.5" customHeight="1">
      <c r="A168" s="456" t="s">
        <v>1001</v>
      </c>
      <c r="B168" s="422" t="s">
        <v>1404</v>
      </c>
      <c r="C168" s="458"/>
      <c r="D168" s="458"/>
      <c r="E168" s="445"/>
      <c r="F168" s="422" t="s">
        <v>1405</v>
      </c>
      <c r="G168" s="458"/>
      <c r="H168" s="458"/>
      <c r="I168" s="458"/>
      <c r="J168" s="719"/>
      <c r="K168" s="395" t="s">
        <v>1406</v>
      </c>
    </row>
    <row r="169" spans="1:11" ht="16.5" customHeight="1">
      <c r="A169" s="456" t="s">
        <v>1080</v>
      </c>
      <c r="B169" s="422" t="s">
        <v>1407</v>
      </c>
      <c r="C169" s="458"/>
      <c r="D169" s="458"/>
      <c r="E169" s="445"/>
      <c r="F169" s="422" t="s">
        <v>576</v>
      </c>
      <c r="G169" s="458"/>
      <c r="H169" s="458"/>
      <c r="I169" s="458"/>
      <c r="J169" s="719"/>
      <c r="K169" s="395" t="s">
        <v>1408</v>
      </c>
    </row>
    <row r="170" spans="1:11" ht="16.5" customHeight="1">
      <c r="A170" s="456" t="s">
        <v>1081</v>
      </c>
      <c r="B170" s="422" t="s">
        <v>1409</v>
      </c>
      <c r="C170" s="458"/>
      <c r="D170" s="458"/>
      <c r="E170" s="445"/>
      <c r="F170" s="422" t="s">
        <v>896</v>
      </c>
      <c r="G170" s="458"/>
      <c r="H170" s="458"/>
      <c r="I170" s="458"/>
      <c r="J170" s="719"/>
      <c r="K170" s="395" t="s">
        <v>1410</v>
      </c>
    </row>
    <row r="171" spans="1:11" ht="16.5" customHeight="1">
      <c r="A171" s="456" t="s">
        <v>1082</v>
      </c>
      <c r="B171" s="426"/>
      <c r="C171" s="458"/>
      <c r="D171" s="458"/>
      <c r="E171" s="445"/>
      <c r="F171" s="422" t="s">
        <v>322</v>
      </c>
      <c r="G171" s="458"/>
      <c r="H171" s="458"/>
      <c r="I171" s="459"/>
      <c r="J171" s="719"/>
      <c r="K171" s="395" t="s">
        <v>1411</v>
      </c>
    </row>
    <row r="172" spans="1:11" ht="16.5" customHeight="1" thickBot="1">
      <c r="A172" s="456" t="s">
        <v>1083</v>
      </c>
      <c r="B172" s="444"/>
      <c r="C172" s="458"/>
      <c r="D172" s="458"/>
      <c r="E172" s="445"/>
      <c r="F172" s="426" t="s">
        <v>1412</v>
      </c>
      <c r="G172" s="458"/>
      <c r="H172" s="458"/>
      <c r="I172" s="459"/>
      <c r="J172" s="719"/>
      <c r="K172" s="395" t="s">
        <v>1413</v>
      </c>
    </row>
    <row r="173" spans="1:11" ht="18" customHeight="1" thickBot="1">
      <c r="A173" s="451" t="s">
        <v>1414</v>
      </c>
      <c r="B173" s="452" t="s">
        <v>1415</v>
      </c>
      <c r="C173" s="453">
        <f>SUM(C166:C172)</f>
        <v>0</v>
      </c>
      <c r="D173" s="453">
        <f>SUM(D166:D172)</f>
        <v>0</v>
      </c>
      <c r="E173" s="454">
        <f>SUM(E166:E172)</f>
        <v>0</v>
      </c>
      <c r="F173" s="452" t="s">
        <v>1415</v>
      </c>
      <c r="G173" s="453">
        <f>SUM(G166:G172)</f>
        <v>0</v>
      </c>
      <c r="H173" s="453">
        <f>SUM(H166:H172)</f>
        <v>0</v>
      </c>
      <c r="I173" s="455">
        <f>SUM(I166:I172)</f>
        <v>0</v>
      </c>
      <c r="J173" s="719"/>
      <c r="K173" s="395" t="s">
        <v>1416</v>
      </c>
    </row>
    <row r="174" spans="1:11" ht="16.5" customHeight="1" thickBot="1">
      <c r="A174" s="451"/>
      <c r="B174" s="460" t="s">
        <v>1417</v>
      </c>
      <c r="C174" s="469">
        <f>C173+C165+C157</f>
        <v>114170000</v>
      </c>
      <c r="D174" s="469">
        <f>D173+D165+D157</f>
        <v>0</v>
      </c>
      <c r="E174" s="470">
        <f>E173+E165+E157</f>
        <v>0</v>
      </c>
      <c r="F174" s="460" t="s">
        <v>1419</v>
      </c>
      <c r="G174" s="469">
        <f>G173+G165+G157</f>
        <v>114170000</v>
      </c>
      <c r="H174" s="469">
        <f>H173+H165+H157</f>
        <v>0</v>
      </c>
      <c r="I174" s="471">
        <f>I173+I165+I157</f>
        <v>0</v>
      </c>
      <c r="J174" s="719"/>
      <c r="K174" s="395" t="s">
        <v>1420</v>
      </c>
    </row>
    <row r="176" ht="15">
      <c r="B176" s="6" t="s">
        <v>1543</v>
      </c>
    </row>
    <row r="178" spans="2:6" ht="15">
      <c r="B178" s="466"/>
      <c r="F178" s="467"/>
    </row>
    <row r="179" spans="2:6" ht="15">
      <c r="B179" s="396" t="s">
        <v>909</v>
      </c>
      <c r="F179" s="396" t="s">
        <v>910</v>
      </c>
    </row>
    <row r="181" spans="2:10" ht="31.5" customHeight="1">
      <c r="B181" s="392" t="s">
        <v>1540</v>
      </c>
      <c r="C181" s="393"/>
      <c r="D181" s="393"/>
      <c r="E181" s="393"/>
      <c r="F181" s="394"/>
      <c r="G181" s="394"/>
      <c r="H181" s="394"/>
      <c r="I181" s="394"/>
      <c r="J181" s="719" t="s">
        <v>1552</v>
      </c>
    </row>
    <row r="182" spans="7:10" ht="15.75" thickBot="1">
      <c r="G182" s="398"/>
      <c r="H182" s="398"/>
      <c r="I182" s="398" t="s">
        <v>1364</v>
      </c>
      <c r="J182" s="719"/>
    </row>
    <row r="183" spans="1:10" ht="18" customHeight="1" thickBot="1">
      <c r="A183" s="720" t="s">
        <v>373</v>
      </c>
      <c r="B183" s="399" t="s">
        <v>1365</v>
      </c>
      <c r="C183" s="400"/>
      <c r="D183" s="400"/>
      <c r="E183" s="401"/>
      <c r="F183" s="399" t="s">
        <v>1366</v>
      </c>
      <c r="G183" s="402"/>
      <c r="H183" s="402"/>
      <c r="I183" s="402"/>
      <c r="J183" s="719"/>
    </row>
    <row r="184" spans="1:11" s="408" customFormat="1" ht="35.25" customHeight="1" thickBot="1">
      <c r="A184" s="721"/>
      <c r="B184" s="403" t="s">
        <v>1012</v>
      </c>
      <c r="C184" s="404" t="s">
        <v>1535</v>
      </c>
      <c r="D184" s="405" t="s">
        <v>1536</v>
      </c>
      <c r="E184" s="406" t="s">
        <v>1537</v>
      </c>
      <c r="F184" s="403" t="s">
        <v>1012</v>
      </c>
      <c r="G184" s="404" t="s">
        <v>1535</v>
      </c>
      <c r="H184" s="405" t="s">
        <v>1368</v>
      </c>
      <c r="I184" s="406" t="s">
        <v>1369</v>
      </c>
      <c r="J184" s="719"/>
      <c r="K184" s="407"/>
    </row>
    <row r="185" spans="1:11" s="415" customFormat="1" ht="12" customHeight="1" thickBot="1">
      <c r="A185" s="409" t="s">
        <v>988</v>
      </c>
      <c r="B185" s="410" t="s">
        <v>989</v>
      </c>
      <c r="C185" s="411" t="s">
        <v>990</v>
      </c>
      <c r="D185" s="411" t="s">
        <v>991</v>
      </c>
      <c r="E185" s="412" t="s">
        <v>992</v>
      </c>
      <c r="F185" s="410" t="s">
        <v>993</v>
      </c>
      <c r="G185" s="411" t="s">
        <v>994</v>
      </c>
      <c r="H185" s="411" t="s">
        <v>995</v>
      </c>
      <c r="I185" s="413" t="s">
        <v>996</v>
      </c>
      <c r="J185" s="719"/>
      <c r="K185" s="414"/>
    </row>
    <row r="186" spans="1:11" ht="16.5" customHeight="1">
      <c r="A186" s="416" t="s">
        <v>341</v>
      </c>
      <c r="B186" s="417" t="s">
        <v>1370</v>
      </c>
      <c r="C186" s="418"/>
      <c r="D186" s="418"/>
      <c r="E186" s="419"/>
      <c r="F186" s="417" t="s">
        <v>1371</v>
      </c>
      <c r="G186" s="418">
        <f>Kiadások!T28</f>
        <v>11531000</v>
      </c>
      <c r="H186" s="418"/>
      <c r="I186" s="420"/>
      <c r="J186" s="719"/>
      <c r="K186" s="395" t="s">
        <v>1372</v>
      </c>
    </row>
    <row r="187" spans="1:11" ht="16.5" customHeight="1">
      <c r="A187" s="421" t="s">
        <v>342</v>
      </c>
      <c r="B187" s="422" t="s">
        <v>1373</v>
      </c>
      <c r="C187" s="423">
        <f>Bevételek!T22</f>
        <v>29802000</v>
      </c>
      <c r="D187" s="423"/>
      <c r="E187" s="424"/>
      <c r="F187" s="422" t="s">
        <v>1374</v>
      </c>
      <c r="G187" s="423">
        <f>Kiadások!T29</f>
        <v>2082000</v>
      </c>
      <c r="H187" s="423"/>
      <c r="I187" s="425"/>
      <c r="J187" s="719"/>
      <c r="K187" s="395" t="s">
        <v>1375</v>
      </c>
    </row>
    <row r="188" spans="1:11" ht="16.5" customHeight="1">
      <c r="A188" s="421" t="s">
        <v>343</v>
      </c>
      <c r="B188" s="422" t="s">
        <v>1008</v>
      </c>
      <c r="C188" s="423"/>
      <c r="D188" s="423"/>
      <c r="E188" s="424"/>
      <c r="F188" s="422" t="s">
        <v>1376</v>
      </c>
      <c r="G188" s="423">
        <f>Kiadások!T54</f>
        <v>14176000</v>
      </c>
      <c r="H188" s="423"/>
      <c r="I188" s="425"/>
      <c r="J188" s="719"/>
      <c r="K188" s="395" t="s">
        <v>1377</v>
      </c>
    </row>
    <row r="189" spans="1:11" ht="16.5" customHeight="1">
      <c r="A189" s="421" t="s">
        <v>344</v>
      </c>
      <c r="B189" s="422" t="s">
        <v>708</v>
      </c>
      <c r="C189" s="423">
        <v>0</v>
      </c>
      <c r="D189" s="423"/>
      <c r="E189" s="424"/>
      <c r="F189" s="422" t="s">
        <v>1378</v>
      </c>
      <c r="G189" s="423"/>
      <c r="H189" s="423"/>
      <c r="I189" s="425"/>
      <c r="J189" s="719"/>
      <c r="K189" s="395" t="s">
        <v>1379</v>
      </c>
    </row>
    <row r="190" spans="1:11" ht="16.5" customHeight="1">
      <c r="A190" s="421" t="s">
        <v>345</v>
      </c>
      <c r="B190" s="422" t="s">
        <v>1009</v>
      </c>
      <c r="C190" s="423"/>
      <c r="D190" s="423"/>
      <c r="E190" s="424"/>
      <c r="F190" s="422" t="s">
        <v>1380</v>
      </c>
      <c r="G190" s="423">
        <f>Kiadások!T68</f>
        <v>1024000</v>
      </c>
      <c r="H190" s="423"/>
      <c r="I190" s="425"/>
      <c r="J190" s="719"/>
      <c r="K190" s="395" t="s">
        <v>1381</v>
      </c>
    </row>
    <row r="191" spans="1:11" ht="16.5" customHeight="1">
      <c r="A191" s="421" t="s">
        <v>346</v>
      </c>
      <c r="B191" s="426" t="s">
        <v>630</v>
      </c>
      <c r="C191" s="423"/>
      <c r="D191" s="423"/>
      <c r="E191" s="424"/>
      <c r="F191" s="422" t="s">
        <v>1382</v>
      </c>
      <c r="G191" s="423"/>
      <c r="H191" s="423"/>
      <c r="I191" s="425"/>
      <c r="J191" s="719"/>
      <c r="K191" s="395" t="s">
        <v>1383</v>
      </c>
    </row>
    <row r="192" spans="1:11" ht="16.5" customHeight="1" thickBot="1">
      <c r="A192" s="427" t="s">
        <v>347</v>
      </c>
      <c r="B192" s="428"/>
      <c r="C192" s="429"/>
      <c r="D192" s="429"/>
      <c r="E192" s="430"/>
      <c r="F192" s="428"/>
      <c r="G192" s="429"/>
      <c r="H192" s="429"/>
      <c r="I192" s="431"/>
      <c r="J192" s="719"/>
      <c r="K192" s="395" t="s">
        <v>1384</v>
      </c>
    </row>
    <row r="193" spans="1:11" s="437" customFormat="1" ht="16.5" customHeight="1" thickBot="1">
      <c r="A193" s="432" t="s">
        <v>996</v>
      </c>
      <c r="B193" s="433" t="s">
        <v>1385</v>
      </c>
      <c r="C193" s="434">
        <f>SUM(C186:C192)</f>
        <v>29802000</v>
      </c>
      <c r="D193" s="434">
        <f>SUM(D186:D192)</f>
        <v>0</v>
      </c>
      <c r="E193" s="468">
        <f>SUM(E186:E192)</f>
        <v>0</v>
      </c>
      <c r="F193" s="433" t="s">
        <v>1386</v>
      </c>
      <c r="G193" s="434">
        <f>SUM(G186:G192)</f>
        <v>28813000</v>
      </c>
      <c r="H193" s="434">
        <f>SUM(H186:H192)</f>
        <v>0</v>
      </c>
      <c r="I193" s="435">
        <f>SUM(I186:I192)</f>
        <v>0</v>
      </c>
      <c r="J193" s="719"/>
      <c r="K193" s="436"/>
    </row>
    <row r="194" spans="1:10" ht="16.5" customHeight="1">
      <c r="A194" s="438" t="s">
        <v>348</v>
      </c>
      <c r="B194" s="439" t="s">
        <v>1387</v>
      </c>
      <c r="C194" s="440"/>
      <c r="D194" s="440"/>
      <c r="E194" s="441"/>
      <c r="F194" s="442" t="s">
        <v>1388</v>
      </c>
      <c r="G194" s="440"/>
      <c r="H194" s="440"/>
      <c r="I194" s="443"/>
      <c r="J194" s="719"/>
    </row>
    <row r="195" spans="1:10" ht="16.5" customHeight="1">
      <c r="A195" s="421" t="s">
        <v>349</v>
      </c>
      <c r="B195" s="444" t="s">
        <v>1389</v>
      </c>
      <c r="C195" s="423"/>
      <c r="D195" s="423"/>
      <c r="E195" s="445"/>
      <c r="F195" s="446" t="s">
        <v>1390</v>
      </c>
      <c r="G195" s="423"/>
      <c r="H195" s="423"/>
      <c r="I195" s="425"/>
      <c r="J195" s="719"/>
    </row>
    <row r="196" spans="1:10" ht="16.5" customHeight="1">
      <c r="A196" s="421" t="s">
        <v>350</v>
      </c>
      <c r="B196" s="447" t="s">
        <v>1391</v>
      </c>
      <c r="C196" s="423">
        <v>0</v>
      </c>
      <c r="D196" s="423"/>
      <c r="E196" s="445"/>
      <c r="F196" s="448" t="s">
        <v>789</v>
      </c>
      <c r="G196" s="423"/>
      <c r="H196" s="423"/>
      <c r="I196" s="425"/>
      <c r="J196" s="719"/>
    </row>
    <row r="197" spans="1:10" ht="16.5" customHeight="1">
      <c r="A197" s="421" t="s">
        <v>351</v>
      </c>
      <c r="B197" s="449" t="s">
        <v>1392</v>
      </c>
      <c r="C197" s="423"/>
      <c r="D197" s="423"/>
      <c r="E197" s="445"/>
      <c r="F197" s="446" t="s">
        <v>1393</v>
      </c>
      <c r="G197" s="423"/>
      <c r="H197" s="423"/>
      <c r="I197" s="425"/>
      <c r="J197" s="719"/>
    </row>
    <row r="198" spans="1:10" ht="16.5" customHeight="1">
      <c r="A198" s="421" t="s">
        <v>352</v>
      </c>
      <c r="B198" s="444" t="s">
        <v>1394</v>
      </c>
      <c r="C198" s="423"/>
      <c r="D198" s="423"/>
      <c r="E198" s="445"/>
      <c r="F198" s="446" t="s">
        <v>1395</v>
      </c>
      <c r="G198" s="423"/>
      <c r="H198" s="423"/>
      <c r="I198" s="425"/>
      <c r="J198" s="719"/>
    </row>
    <row r="199" spans="1:10" ht="16.5" customHeight="1">
      <c r="A199" s="421" t="s">
        <v>353</v>
      </c>
      <c r="B199" s="448" t="s">
        <v>851</v>
      </c>
      <c r="C199" s="423"/>
      <c r="D199" s="423"/>
      <c r="E199" s="445"/>
      <c r="F199" s="446"/>
      <c r="G199" s="423"/>
      <c r="H199" s="423"/>
      <c r="I199" s="425"/>
      <c r="J199" s="719"/>
    </row>
    <row r="200" spans="1:10" ht="16.5" customHeight="1" thickBot="1">
      <c r="A200" s="421" t="s">
        <v>998</v>
      </c>
      <c r="B200" s="444"/>
      <c r="C200" s="423"/>
      <c r="D200" s="423"/>
      <c r="E200" s="445"/>
      <c r="F200" s="450"/>
      <c r="G200" s="423"/>
      <c r="H200" s="423"/>
      <c r="I200" s="425"/>
      <c r="J200" s="719"/>
    </row>
    <row r="201" spans="1:11" ht="23.25" customHeight="1" thickBot="1">
      <c r="A201" s="451" t="s">
        <v>1396</v>
      </c>
      <c r="B201" s="452" t="s">
        <v>1397</v>
      </c>
      <c r="C201" s="453">
        <f>SUM(C194:C200)</f>
        <v>0</v>
      </c>
      <c r="D201" s="453">
        <f>SUM(D194:D200)</f>
        <v>0</v>
      </c>
      <c r="E201" s="454">
        <f>SUM(E194:E200)</f>
        <v>0</v>
      </c>
      <c r="F201" s="452" t="s">
        <v>1397</v>
      </c>
      <c r="G201" s="453">
        <f>SUM(G194:G200)</f>
        <v>0</v>
      </c>
      <c r="H201" s="453">
        <f>SUM(H194:H200)</f>
        <v>0</v>
      </c>
      <c r="I201" s="455">
        <f>SUM(I194:I200)</f>
        <v>0</v>
      </c>
      <c r="J201" s="719"/>
      <c r="K201" s="395" t="s">
        <v>1398</v>
      </c>
    </row>
    <row r="202" spans="1:11" ht="16.5" customHeight="1">
      <c r="A202" s="456" t="s">
        <v>999</v>
      </c>
      <c r="B202" s="457" t="s">
        <v>1399</v>
      </c>
      <c r="C202" s="458"/>
      <c r="D202" s="458"/>
      <c r="E202" s="445"/>
      <c r="F202" s="457" t="s">
        <v>895</v>
      </c>
      <c r="G202" s="458"/>
      <c r="H202" s="458"/>
      <c r="I202" s="459"/>
      <c r="J202" s="719"/>
      <c r="K202" s="395" t="s">
        <v>1400</v>
      </c>
    </row>
    <row r="203" spans="1:11" ht="16.5" customHeight="1">
      <c r="A203" s="456" t="s">
        <v>1000</v>
      </c>
      <c r="B203" s="422" t="s">
        <v>1401</v>
      </c>
      <c r="C203" s="458"/>
      <c r="D203" s="458"/>
      <c r="E203" s="445"/>
      <c r="F203" s="422" t="s">
        <v>1402</v>
      </c>
      <c r="G203" s="458"/>
      <c r="H203" s="458"/>
      <c r="I203" s="459"/>
      <c r="J203" s="719"/>
      <c r="K203" s="395" t="s">
        <v>1403</v>
      </c>
    </row>
    <row r="204" spans="1:11" ht="16.5" customHeight="1">
      <c r="A204" s="456" t="s">
        <v>1001</v>
      </c>
      <c r="B204" s="422" t="s">
        <v>1404</v>
      </c>
      <c r="C204" s="458"/>
      <c r="D204" s="458"/>
      <c r="E204" s="445"/>
      <c r="F204" s="422" t="s">
        <v>1405</v>
      </c>
      <c r="G204" s="458">
        <f>Kiadások!T84</f>
        <v>78740</v>
      </c>
      <c r="H204" s="458"/>
      <c r="I204" s="459"/>
      <c r="J204" s="719"/>
      <c r="K204" s="395" t="s">
        <v>1406</v>
      </c>
    </row>
    <row r="205" spans="1:11" ht="16.5" customHeight="1">
      <c r="A205" s="456" t="s">
        <v>1080</v>
      </c>
      <c r="B205" s="422" t="s">
        <v>1407</v>
      </c>
      <c r="C205" s="458"/>
      <c r="D205" s="458"/>
      <c r="E205" s="445"/>
      <c r="F205" s="422" t="s">
        <v>576</v>
      </c>
      <c r="G205" s="458"/>
      <c r="H205" s="458"/>
      <c r="I205" s="459"/>
      <c r="J205" s="719"/>
      <c r="K205" s="395" t="s">
        <v>1408</v>
      </c>
    </row>
    <row r="206" spans="1:11" ht="16.5" customHeight="1">
      <c r="A206" s="456" t="s">
        <v>1081</v>
      </c>
      <c r="B206" s="422" t="s">
        <v>1409</v>
      </c>
      <c r="C206" s="458"/>
      <c r="D206" s="458"/>
      <c r="E206" s="445"/>
      <c r="F206" s="422" t="s">
        <v>896</v>
      </c>
      <c r="G206" s="458">
        <f>Kiadások!T87</f>
        <v>21259.800000000003</v>
      </c>
      <c r="H206" s="458"/>
      <c r="I206" s="459"/>
      <c r="J206" s="719"/>
      <c r="K206" s="395" t="s">
        <v>1410</v>
      </c>
    </row>
    <row r="207" spans="1:11" ht="16.5" customHeight="1">
      <c r="A207" s="456" t="s">
        <v>1082</v>
      </c>
      <c r="B207" s="426"/>
      <c r="C207" s="458"/>
      <c r="D207" s="458"/>
      <c r="E207" s="445"/>
      <c r="F207" s="422" t="s">
        <v>322</v>
      </c>
      <c r="G207" s="458">
        <v>889000</v>
      </c>
      <c r="H207" s="458"/>
      <c r="I207" s="459"/>
      <c r="J207" s="719"/>
      <c r="K207" s="395" t="s">
        <v>1411</v>
      </c>
    </row>
    <row r="208" spans="1:11" ht="16.5" customHeight="1" thickBot="1">
      <c r="A208" s="456" t="s">
        <v>1083</v>
      </c>
      <c r="B208" s="444"/>
      <c r="C208" s="458"/>
      <c r="D208" s="458"/>
      <c r="E208" s="445"/>
      <c r="F208" s="426" t="s">
        <v>1412</v>
      </c>
      <c r="G208" s="458"/>
      <c r="H208" s="458"/>
      <c r="I208" s="459"/>
      <c r="J208" s="719"/>
      <c r="K208" s="395" t="s">
        <v>1413</v>
      </c>
    </row>
    <row r="209" spans="1:11" ht="18" customHeight="1" thickBot="1">
      <c r="A209" s="451" t="s">
        <v>1414</v>
      </c>
      <c r="B209" s="452" t="s">
        <v>1415</v>
      </c>
      <c r="C209" s="453">
        <f>SUM(C202:C208)</f>
        <v>0</v>
      </c>
      <c r="D209" s="453">
        <f>SUM(D202:D208)</f>
        <v>0</v>
      </c>
      <c r="E209" s="454">
        <f>SUM(E202:E208)</f>
        <v>0</v>
      </c>
      <c r="F209" s="452" t="s">
        <v>1415</v>
      </c>
      <c r="G209" s="453">
        <f>SUM(G202:G208)</f>
        <v>988999.8</v>
      </c>
      <c r="H209" s="453">
        <f>SUM(H202:H208)</f>
        <v>0</v>
      </c>
      <c r="I209" s="455">
        <f>SUM(I202:I208)</f>
        <v>0</v>
      </c>
      <c r="J209" s="719"/>
      <c r="K209" s="395" t="s">
        <v>1416</v>
      </c>
    </row>
    <row r="210" spans="1:11" ht="16.5" customHeight="1" thickBot="1">
      <c r="A210" s="451"/>
      <c r="B210" s="460" t="s">
        <v>1417</v>
      </c>
      <c r="C210" s="469">
        <f>C209+C201+C193</f>
        <v>29802000</v>
      </c>
      <c r="D210" s="469">
        <f>D209+D201+D193</f>
        <v>0</v>
      </c>
      <c r="E210" s="470">
        <f>E209+E201+E193</f>
        <v>0</v>
      </c>
      <c r="F210" s="460" t="s">
        <v>1419</v>
      </c>
      <c r="G210" s="469">
        <f>G209+G201+G193</f>
        <v>29801999.8</v>
      </c>
      <c r="H210" s="469">
        <f>H209+H201+H193</f>
        <v>0</v>
      </c>
      <c r="I210" s="471">
        <f>I209+I201+I193</f>
        <v>0</v>
      </c>
      <c r="J210" s="719"/>
      <c r="K210" s="395" t="s">
        <v>1420</v>
      </c>
    </row>
    <row r="212" ht="15">
      <c r="B212" s="6" t="s">
        <v>1543</v>
      </c>
    </row>
    <row r="214" spans="2:6" ht="15">
      <c r="B214" s="466"/>
      <c r="F214" s="467"/>
    </row>
    <row r="215" spans="2:6" ht="15">
      <c r="B215" s="396" t="s">
        <v>909</v>
      </c>
      <c r="F215" s="396" t="s">
        <v>910</v>
      </c>
    </row>
    <row r="217" spans="2:10" ht="31.5" customHeight="1">
      <c r="B217" s="392" t="s">
        <v>1426</v>
      </c>
      <c r="C217" s="393"/>
      <c r="D217" s="393"/>
      <c r="E217" s="393"/>
      <c r="F217" s="394"/>
      <c r="G217" s="394"/>
      <c r="H217" s="394"/>
      <c r="I217" s="394"/>
      <c r="J217" s="719" t="s">
        <v>1551</v>
      </c>
    </row>
    <row r="218" spans="7:10" ht="15.75" thickBot="1">
      <c r="G218" s="398"/>
      <c r="H218" s="398"/>
      <c r="I218" s="398" t="s">
        <v>1364</v>
      </c>
      <c r="J218" s="719"/>
    </row>
    <row r="219" spans="1:10" ht="18" customHeight="1" thickBot="1">
      <c r="A219" s="720" t="s">
        <v>373</v>
      </c>
      <c r="B219" s="399" t="s">
        <v>1365</v>
      </c>
      <c r="C219" s="400"/>
      <c r="D219" s="400"/>
      <c r="E219" s="401"/>
      <c r="F219" s="399" t="s">
        <v>1366</v>
      </c>
      <c r="G219" s="402"/>
      <c r="H219" s="402"/>
      <c r="I219" s="402"/>
      <c r="J219" s="719"/>
    </row>
    <row r="220" spans="1:11" s="408" customFormat="1" ht="35.25" customHeight="1" thickBot="1">
      <c r="A220" s="721"/>
      <c r="B220" s="403" t="s">
        <v>1012</v>
      </c>
      <c r="C220" s="404" t="s">
        <v>1535</v>
      </c>
      <c r="D220" s="405" t="s">
        <v>1536</v>
      </c>
      <c r="E220" s="406" t="s">
        <v>1537</v>
      </c>
      <c r="F220" s="403" t="s">
        <v>1012</v>
      </c>
      <c r="G220" s="404" t="s">
        <v>1535</v>
      </c>
      <c r="H220" s="405" t="s">
        <v>1536</v>
      </c>
      <c r="I220" s="406" t="s">
        <v>1537</v>
      </c>
      <c r="J220" s="719"/>
      <c r="K220" s="407"/>
    </row>
    <row r="221" spans="1:11" s="415" customFormat="1" ht="12" customHeight="1" thickBot="1">
      <c r="A221" s="409" t="s">
        <v>988</v>
      </c>
      <c r="B221" s="410" t="s">
        <v>989</v>
      </c>
      <c r="C221" s="411" t="s">
        <v>990</v>
      </c>
      <c r="D221" s="411" t="s">
        <v>991</v>
      </c>
      <c r="E221" s="412" t="s">
        <v>992</v>
      </c>
      <c r="F221" s="410" t="s">
        <v>993</v>
      </c>
      <c r="G221" s="411" t="s">
        <v>994</v>
      </c>
      <c r="H221" s="411" t="s">
        <v>995</v>
      </c>
      <c r="I221" s="413" t="s">
        <v>996</v>
      </c>
      <c r="J221" s="719"/>
      <c r="K221" s="414"/>
    </row>
    <row r="222" spans="1:11" ht="16.5" customHeight="1">
      <c r="A222" s="416" t="s">
        <v>341</v>
      </c>
      <c r="B222" s="417" t="s">
        <v>1370</v>
      </c>
      <c r="C222" s="418"/>
      <c r="D222" s="418"/>
      <c r="E222" s="419"/>
      <c r="F222" s="417" t="s">
        <v>1371</v>
      </c>
      <c r="G222" s="418">
        <f>Kiadások!Y28</f>
        <v>4301000</v>
      </c>
      <c r="H222" s="418"/>
      <c r="I222" s="420"/>
      <c r="J222" s="719"/>
      <c r="K222" s="395" t="s">
        <v>1372</v>
      </c>
    </row>
    <row r="223" spans="1:11" ht="16.5" customHeight="1">
      <c r="A223" s="421" t="s">
        <v>342</v>
      </c>
      <c r="B223" s="422" t="s">
        <v>1373</v>
      </c>
      <c r="C223" s="423">
        <f>Bevételek!Y22</f>
        <v>9298000</v>
      </c>
      <c r="D223" s="423"/>
      <c r="E223" s="424"/>
      <c r="F223" s="422" t="s">
        <v>1374</v>
      </c>
      <c r="G223" s="423">
        <f>Kiadások!Y29</f>
        <v>837000</v>
      </c>
      <c r="H223" s="423"/>
      <c r="I223" s="425"/>
      <c r="J223" s="719"/>
      <c r="K223" s="395" t="s">
        <v>1375</v>
      </c>
    </row>
    <row r="224" spans="1:11" ht="16.5" customHeight="1">
      <c r="A224" s="421" t="s">
        <v>343</v>
      </c>
      <c r="B224" s="422" t="s">
        <v>1008</v>
      </c>
      <c r="C224" s="423"/>
      <c r="D224" s="423"/>
      <c r="E224" s="424"/>
      <c r="F224" s="422" t="s">
        <v>1376</v>
      </c>
      <c r="G224" s="423">
        <f>Kiadások!Y54</f>
        <v>4160000</v>
      </c>
      <c r="H224" s="423"/>
      <c r="I224" s="425"/>
      <c r="J224" s="719"/>
      <c r="K224" s="395" t="s">
        <v>1377</v>
      </c>
    </row>
    <row r="225" spans="1:11" ht="16.5" customHeight="1">
      <c r="A225" s="421" t="s">
        <v>344</v>
      </c>
      <c r="B225" s="422" t="s">
        <v>708</v>
      </c>
      <c r="C225" s="423">
        <v>0</v>
      </c>
      <c r="D225" s="423"/>
      <c r="E225" s="424"/>
      <c r="F225" s="422" t="s">
        <v>1378</v>
      </c>
      <c r="G225" s="423"/>
      <c r="H225" s="423"/>
      <c r="I225" s="425"/>
      <c r="J225" s="719"/>
      <c r="K225" s="395" t="s">
        <v>1379</v>
      </c>
    </row>
    <row r="226" spans="1:11" ht="16.5" customHeight="1">
      <c r="A226" s="421" t="s">
        <v>345</v>
      </c>
      <c r="B226" s="422" t="s">
        <v>1009</v>
      </c>
      <c r="C226" s="423"/>
      <c r="D226" s="423"/>
      <c r="E226" s="424"/>
      <c r="F226" s="422" t="s">
        <v>1380</v>
      </c>
      <c r="G226" s="423"/>
      <c r="H226" s="423"/>
      <c r="I226" s="425"/>
      <c r="J226" s="719"/>
      <c r="K226" s="395" t="s">
        <v>1381</v>
      </c>
    </row>
    <row r="227" spans="1:11" ht="16.5" customHeight="1">
      <c r="A227" s="421" t="s">
        <v>346</v>
      </c>
      <c r="B227" s="426" t="s">
        <v>630</v>
      </c>
      <c r="C227" s="423"/>
      <c r="D227" s="423"/>
      <c r="E227" s="424"/>
      <c r="F227" s="422" t="s">
        <v>1382</v>
      </c>
      <c r="G227" s="423"/>
      <c r="H227" s="423"/>
      <c r="I227" s="425"/>
      <c r="J227" s="719"/>
      <c r="K227" s="395" t="s">
        <v>1383</v>
      </c>
    </row>
    <row r="228" spans="1:11" ht="16.5" customHeight="1" thickBot="1">
      <c r="A228" s="427" t="s">
        <v>347</v>
      </c>
      <c r="B228" s="428"/>
      <c r="C228" s="429"/>
      <c r="D228" s="429"/>
      <c r="E228" s="430"/>
      <c r="F228" s="428"/>
      <c r="G228" s="429"/>
      <c r="H228" s="429"/>
      <c r="I228" s="431"/>
      <c r="J228" s="719"/>
      <c r="K228" s="395" t="s">
        <v>1384</v>
      </c>
    </row>
    <row r="229" spans="1:11" s="437" customFormat="1" ht="16.5" customHeight="1" thickBot="1">
      <c r="A229" s="432" t="s">
        <v>996</v>
      </c>
      <c r="B229" s="433" t="s">
        <v>1385</v>
      </c>
      <c r="C229" s="434">
        <f>SUM(C222:C228)</f>
        <v>9298000</v>
      </c>
      <c r="D229" s="434">
        <f>SUM(D222:D228)</f>
        <v>0</v>
      </c>
      <c r="E229" s="468">
        <f>SUM(E222:E228)</f>
        <v>0</v>
      </c>
      <c r="F229" s="433" t="s">
        <v>1386</v>
      </c>
      <c r="G229" s="434">
        <f>SUM(G222:G228)</f>
        <v>9298000</v>
      </c>
      <c r="H229" s="434">
        <f>SUM(H222:H228)</f>
        <v>0</v>
      </c>
      <c r="I229" s="435">
        <f>SUM(I222:I228)</f>
        <v>0</v>
      </c>
      <c r="J229" s="719"/>
      <c r="K229" s="436"/>
    </row>
    <row r="230" spans="1:10" ht="16.5" customHeight="1">
      <c r="A230" s="438" t="s">
        <v>348</v>
      </c>
      <c r="B230" s="439" t="s">
        <v>1387</v>
      </c>
      <c r="C230" s="440"/>
      <c r="D230" s="440"/>
      <c r="E230" s="441"/>
      <c r="F230" s="442" t="s">
        <v>1388</v>
      </c>
      <c r="G230" s="440"/>
      <c r="H230" s="440"/>
      <c r="I230" s="443"/>
      <c r="J230" s="719"/>
    </row>
    <row r="231" spans="1:10" ht="16.5" customHeight="1">
      <c r="A231" s="421" t="s">
        <v>349</v>
      </c>
      <c r="B231" s="444" t="s">
        <v>1389</v>
      </c>
      <c r="C231" s="423"/>
      <c r="D231" s="423"/>
      <c r="E231" s="445"/>
      <c r="F231" s="446" t="s">
        <v>1390</v>
      </c>
      <c r="G231" s="423"/>
      <c r="H231" s="423"/>
      <c r="I231" s="425"/>
      <c r="J231" s="719"/>
    </row>
    <row r="232" spans="1:10" ht="16.5" customHeight="1">
      <c r="A232" s="421" t="s">
        <v>350</v>
      </c>
      <c r="B232" s="447" t="s">
        <v>1391</v>
      </c>
      <c r="C232" s="423"/>
      <c r="D232" s="423"/>
      <c r="E232" s="445"/>
      <c r="F232" s="448" t="s">
        <v>789</v>
      </c>
      <c r="G232" s="423"/>
      <c r="H232" s="423"/>
      <c r="I232" s="425"/>
      <c r="J232" s="719"/>
    </row>
    <row r="233" spans="1:10" ht="16.5" customHeight="1">
      <c r="A233" s="421" t="s">
        <v>351</v>
      </c>
      <c r="B233" s="449" t="s">
        <v>1392</v>
      </c>
      <c r="C233" s="423"/>
      <c r="D233" s="423"/>
      <c r="E233" s="445"/>
      <c r="F233" s="446" t="s">
        <v>1393</v>
      </c>
      <c r="G233" s="423"/>
      <c r="H233" s="423"/>
      <c r="I233" s="425"/>
      <c r="J233" s="719"/>
    </row>
    <row r="234" spans="1:10" ht="16.5" customHeight="1">
      <c r="A234" s="421" t="s">
        <v>352</v>
      </c>
      <c r="B234" s="444" t="s">
        <v>1394</v>
      </c>
      <c r="C234" s="423"/>
      <c r="D234" s="423"/>
      <c r="E234" s="445"/>
      <c r="F234" s="446" t="s">
        <v>1395</v>
      </c>
      <c r="G234" s="423"/>
      <c r="H234" s="423"/>
      <c r="I234" s="425"/>
      <c r="J234" s="719"/>
    </row>
    <row r="235" spans="1:10" ht="16.5" customHeight="1">
      <c r="A235" s="421" t="s">
        <v>353</v>
      </c>
      <c r="B235" s="448" t="s">
        <v>851</v>
      </c>
      <c r="C235" s="423"/>
      <c r="D235" s="423"/>
      <c r="E235" s="445"/>
      <c r="F235" s="446"/>
      <c r="G235" s="423"/>
      <c r="H235" s="423"/>
      <c r="I235" s="425"/>
      <c r="J235" s="719"/>
    </row>
    <row r="236" spans="1:10" ht="16.5" customHeight="1" thickBot="1">
      <c r="A236" s="421" t="s">
        <v>998</v>
      </c>
      <c r="B236" s="444"/>
      <c r="C236" s="423"/>
      <c r="D236" s="423"/>
      <c r="E236" s="445"/>
      <c r="F236" s="450"/>
      <c r="G236" s="423"/>
      <c r="H236" s="423"/>
      <c r="I236" s="425"/>
      <c r="J236" s="719"/>
    </row>
    <row r="237" spans="1:11" ht="23.25" customHeight="1" thickBot="1">
      <c r="A237" s="451" t="s">
        <v>1396</v>
      </c>
      <c r="B237" s="452" t="s">
        <v>1397</v>
      </c>
      <c r="C237" s="453">
        <f>SUM(C230:C236)</f>
        <v>0</v>
      </c>
      <c r="D237" s="453">
        <f>SUM(D230:D236)</f>
        <v>0</v>
      </c>
      <c r="E237" s="454">
        <f>SUM(E230:E236)</f>
        <v>0</v>
      </c>
      <c r="F237" s="452" t="s">
        <v>1397</v>
      </c>
      <c r="G237" s="453">
        <f>SUM(G230:G236)</f>
        <v>0</v>
      </c>
      <c r="H237" s="453">
        <f>SUM(H230:H236)</f>
        <v>0</v>
      </c>
      <c r="I237" s="455">
        <f>SUM(I230:I236)</f>
        <v>0</v>
      </c>
      <c r="J237" s="719"/>
      <c r="K237" s="395" t="s">
        <v>1398</v>
      </c>
    </row>
    <row r="238" spans="1:11" ht="16.5" customHeight="1">
      <c r="A238" s="456" t="s">
        <v>999</v>
      </c>
      <c r="B238" s="457" t="s">
        <v>1399</v>
      </c>
      <c r="C238" s="458"/>
      <c r="D238" s="458"/>
      <c r="E238" s="445"/>
      <c r="F238" s="457" t="s">
        <v>895</v>
      </c>
      <c r="G238" s="458"/>
      <c r="H238" s="458"/>
      <c r="I238" s="459"/>
      <c r="J238" s="719"/>
      <c r="K238" s="395" t="s">
        <v>1400</v>
      </c>
    </row>
    <row r="239" spans="1:11" ht="16.5" customHeight="1">
      <c r="A239" s="456" t="s">
        <v>1000</v>
      </c>
      <c r="B239" s="422" t="s">
        <v>1401</v>
      </c>
      <c r="C239" s="458"/>
      <c r="D239" s="458"/>
      <c r="E239" s="445"/>
      <c r="F239" s="422" t="s">
        <v>1402</v>
      </c>
      <c r="G239" s="458"/>
      <c r="H239" s="458"/>
      <c r="I239" s="459"/>
      <c r="J239" s="719"/>
      <c r="K239" s="395" t="s">
        <v>1403</v>
      </c>
    </row>
    <row r="240" spans="1:11" ht="16.5" customHeight="1">
      <c r="A240" s="456" t="s">
        <v>1001</v>
      </c>
      <c r="B240" s="422" t="s">
        <v>1404</v>
      </c>
      <c r="C240" s="458"/>
      <c r="D240" s="458"/>
      <c r="E240" s="445"/>
      <c r="F240" s="422" t="s">
        <v>1405</v>
      </c>
      <c r="G240" s="458">
        <f>Kiadások!Y84</f>
        <v>0</v>
      </c>
      <c r="H240" s="458"/>
      <c r="I240" s="459"/>
      <c r="J240" s="719"/>
      <c r="K240" s="395" t="s">
        <v>1406</v>
      </c>
    </row>
    <row r="241" spans="1:11" ht="16.5" customHeight="1">
      <c r="A241" s="456" t="s">
        <v>1080</v>
      </c>
      <c r="B241" s="422" t="s">
        <v>1407</v>
      </c>
      <c r="C241" s="458"/>
      <c r="D241" s="458"/>
      <c r="E241" s="445"/>
      <c r="F241" s="422" t="s">
        <v>576</v>
      </c>
      <c r="G241" s="458"/>
      <c r="H241" s="458"/>
      <c r="I241" s="459"/>
      <c r="J241" s="719"/>
      <c r="K241" s="395" t="s">
        <v>1408</v>
      </c>
    </row>
    <row r="242" spans="1:11" ht="16.5" customHeight="1">
      <c r="A242" s="456" t="s">
        <v>1081</v>
      </c>
      <c r="B242" s="422" t="s">
        <v>1409</v>
      </c>
      <c r="C242" s="458"/>
      <c r="D242" s="458"/>
      <c r="E242" s="445"/>
      <c r="F242" s="422" t="s">
        <v>896</v>
      </c>
      <c r="G242" s="458">
        <f>Kiadások!V87</f>
        <v>0</v>
      </c>
      <c r="H242" s="458"/>
      <c r="I242" s="459"/>
      <c r="J242" s="719"/>
      <c r="K242" s="395" t="s">
        <v>1410</v>
      </c>
    </row>
    <row r="243" spans="1:11" ht="16.5" customHeight="1">
      <c r="A243" s="456" t="s">
        <v>1082</v>
      </c>
      <c r="B243" s="426"/>
      <c r="C243" s="458"/>
      <c r="D243" s="458"/>
      <c r="E243" s="445"/>
      <c r="F243" s="422" t="s">
        <v>322</v>
      </c>
      <c r="G243" s="458"/>
      <c r="H243" s="458"/>
      <c r="I243" s="459"/>
      <c r="J243" s="719"/>
      <c r="K243" s="395" t="s">
        <v>1411</v>
      </c>
    </row>
    <row r="244" spans="1:11" ht="16.5" customHeight="1" thickBot="1">
      <c r="A244" s="456" t="s">
        <v>1083</v>
      </c>
      <c r="B244" s="444"/>
      <c r="C244" s="458"/>
      <c r="D244" s="458"/>
      <c r="E244" s="445"/>
      <c r="F244" s="426" t="s">
        <v>1412</v>
      </c>
      <c r="G244" s="458"/>
      <c r="H244" s="458"/>
      <c r="I244" s="459"/>
      <c r="J244" s="719"/>
      <c r="K244" s="395" t="s">
        <v>1413</v>
      </c>
    </row>
    <row r="245" spans="1:11" ht="18" customHeight="1" thickBot="1">
      <c r="A245" s="451" t="s">
        <v>1414</v>
      </c>
      <c r="B245" s="452" t="s">
        <v>1415</v>
      </c>
      <c r="C245" s="453">
        <f>SUM(C238:C244)</f>
        <v>0</v>
      </c>
      <c r="D245" s="453">
        <f>SUM(D238:D244)</f>
        <v>0</v>
      </c>
      <c r="E245" s="454">
        <f>SUM(E238:E244)</f>
        <v>0</v>
      </c>
      <c r="F245" s="452" t="s">
        <v>1415</v>
      </c>
      <c r="G245" s="453">
        <f>SUM(G238:G244)</f>
        <v>0</v>
      </c>
      <c r="H245" s="453">
        <f>SUM(H238:H244)</f>
        <v>0</v>
      </c>
      <c r="I245" s="455">
        <f>SUM(I238:I244)</f>
        <v>0</v>
      </c>
      <c r="J245" s="719"/>
      <c r="K245" s="395" t="s">
        <v>1416</v>
      </c>
    </row>
    <row r="246" spans="1:11" ht="16.5" customHeight="1" thickBot="1">
      <c r="A246" s="451"/>
      <c r="B246" s="460" t="s">
        <v>1417</v>
      </c>
      <c r="C246" s="469">
        <f>C245+C237+C229</f>
        <v>9298000</v>
      </c>
      <c r="D246" s="469">
        <f>D245+D237+D229</f>
        <v>0</v>
      </c>
      <c r="E246" s="470">
        <f>E245+E237+E229</f>
        <v>0</v>
      </c>
      <c r="F246" s="460" t="s">
        <v>1419</v>
      </c>
      <c r="G246" s="469">
        <f>G245+G237+G229</f>
        <v>9298000</v>
      </c>
      <c r="H246" s="469">
        <f>H245+H237+H229</f>
        <v>0</v>
      </c>
      <c r="I246" s="471">
        <f>I245+I237+I229</f>
        <v>0</v>
      </c>
      <c r="J246" s="719"/>
      <c r="K246" s="395" t="s">
        <v>1420</v>
      </c>
    </row>
    <row r="248" ht="15">
      <c r="B248" s="6" t="s">
        <v>1543</v>
      </c>
    </row>
    <row r="250" spans="2:6" ht="15">
      <c r="B250" s="466"/>
      <c r="F250" s="467"/>
    </row>
    <row r="251" spans="2:6" ht="15">
      <c r="B251" s="396" t="s">
        <v>909</v>
      </c>
      <c r="F251" s="396" t="s">
        <v>910</v>
      </c>
    </row>
    <row r="253" spans="2:10" ht="31.5" hidden="1">
      <c r="B253" s="392" t="s">
        <v>1427</v>
      </c>
      <c r="C253" s="393"/>
      <c r="D253" s="393"/>
      <c r="E253" s="393"/>
      <c r="F253" s="394"/>
      <c r="G253" s="394"/>
      <c r="H253" s="394"/>
      <c r="I253" s="394"/>
      <c r="J253" s="722" t="s">
        <v>1428</v>
      </c>
    </row>
    <row r="254" spans="7:10" ht="15.75" hidden="1" thickBot="1">
      <c r="G254" s="398"/>
      <c r="H254" s="398"/>
      <c r="I254" s="398" t="s">
        <v>1364</v>
      </c>
      <c r="J254" s="722"/>
    </row>
    <row r="255" spans="1:10" ht="18" customHeight="1" hidden="1" thickBot="1">
      <c r="A255" s="720" t="s">
        <v>373</v>
      </c>
      <c r="B255" s="399" t="s">
        <v>1365</v>
      </c>
      <c r="C255" s="400"/>
      <c r="D255" s="400"/>
      <c r="E255" s="401"/>
      <c r="F255" s="399" t="s">
        <v>1366</v>
      </c>
      <c r="G255" s="402"/>
      <c r="H255" s="402"/>
      <c r="I255" s="402"/>
      <c r="J255" s="722"/>
    </row>
    <row r="256" spans="1:11" s="408" customFormat="1" ht="35.25" customHeight="1" hidden="1" thickBot="1">
      <c r="A256" s="721"/>
      <c r="B256" s="403" t="s">
        <v>1012</v>
      </c>
      <c r="C256" s="404" t="s">
        <v>1367</v>
      </c>
      <c r="D256" s="405" t="s">
        <v>1368</v>
      </c>
      <c r="E256" s="406" t="s">
        <v>1369</v>
      </c>
      <c r="F256" s="403" t="s">
        <v>1012</v>
      </c>
      <c r="G256" s="404" t="s">
        <v>1367</v>
      </c>
      <c r="H256" s="405" t="s">
        <v>1368</v>
      </c>
      <c r="I256" s="406" t="s">
        <v>1369</v>
      </c>
      <c r="J256" s="722"/>
      <c r="K256" s="407"/>
    </row>
    <row r="257" spans="1:11" s="415" customFormat="1" ht="12" customHeight="1" hidden="1" thickBot="1">
      <c r="A257" s="409" t="s">
        <v>988</v>
      </c>
      <c r="B257" s="410" t="s">
        <v>989</v>
      </c>
      <c r="C257" s="411" t="s">
        <v>990</v>
      </c>
      <c r="D257" s="411" t="s">
        <v>991</v>
      </c>
      <c r="E257" s="412" t="s">
        <v>992</v>
      </c>
      <c r="F257" s="410" t="s">
        <v>993</v>
      </c>
      <c r="G257" s="411" t="s">
        <v>994</v>
      </c>
      <c r="H257" s="411" t="s">
        <v>995</v>
      </c>
      <c r="I257" s="413" t="s">
        <v>996</v>
      </c>
      <c r="J257" s="722"/>
      <c r="K257" s="414"/>
    </row>
    <row r="258" spans="1:11" ht="16.5" customHeight="1" hidden="1">
      <c r="A258" s="416" t="s">
        <v>341</v>
      </c>
      <c r="B258" s="417" t="s">
        <v>1370</v>
      </c>
      <c r="C258" s="418"/>
      <c r="D258" s="418"/>
      <c r="E258" s="419"/>
      <c r="F258" s="417" t="s">
        <v>1371</v>
      </c>
      <c r="G258" s="418"/>
      <c r="H258" s="418"/>
      <c r="I258" s="420"/>
      <c r="J258" s="722"/>
      <c r="K258" s="395" t="s">
        <v>1372</v>
      </c>
    </row>
    <row r="259" spans="1:11" ht="16.5" customHeight="1" hidden="1">
      <c r="A259" s="421" t="s">
        <v>342</v>
      </c>
      <c r="B259" s="422" t="s">
        <v>1373</v>
      </c>
      <c r="C259" s="423"/>
      <c r="D259" s="423"/>
      <c r="E259" s="424"/>
      <c r="F259" s="422" t="s">
        <v>1374</v>
      </c>
      <c r="G259" s="423"/>
      <c r="H259" s="423"/>
      <c r="I259" s="425"/>
      <c r="J259" s="722"/>
      <c r="K259" s="395" t="s">
        <v>1375</v>
      </c>
    </row>
    <row r="260" spans="1:11" ht="16.5" customHeight="1" hidden="1">
      <c r="A260" s="421" t="s">
        <v>343</v>
      </c>
      <c r="B260" s="422" t="s">
        <v>1008</v>
      </c>
      <c r="C260" s="423"/>
      <c r="D260" s="423"/>
      <c r="E260" s="424"/>
      <c r="F260" s="422" t="s">
        <v>1376</v>
      </c>
      <c r="G260" s="423"/>
      <c r="H260" s="423"/>
      <c r="I260" s="425"/>
      <c r="J260" s="722"/>
      <c r="K260" s="395" t="s">
        <v>1377</v>
      </c>
    </row>
    <row r="261" spans="1:11" ht="16.5" customHeight="1" hidden="1">
      <c r="A261" s="421" t="s">
        <v>344</v>
      </c>
      <c r="B261" s="422" t="s">
        <v>708</v>
      </c>
      <c r="C261" s="423">
        <v>0</v>
      </c>
      <c r="D261" s="423"/>
      <c r="E261" s="424"/>
      <c r="F261" s="422" t="s">
        <v>1378</v>
      </c>
      <c r="G261" s="423"/>
      <c r="H261" s="423"/>
      <c r="I261" s="425"/>
      <c r="J261" s="722"/>
      <c r="K261" s="395" t="s">
        <v>1379</v>
      </c>
    </row>
    <row r="262" spans="1:11" ht="16.5" customHeight="1" hidden="1">
      <c r="A262" s="421" t="s">
        <v>345</v>
      </c>
      <c r="B262" s="422" t="s">
        <v>1009</v>
      </c>
      <c r="C262" s="423"/>
      <c r="D262" s="423"/>
      <c r="E262" s="424"/>
      <c r="F262" s="422" t="s">
        <v>1380</v>
      </c>
      <c r="G262" s="423"/>
      <c r="H262" s="423"/>
      <c r="I262" s="425"/>
      <c r="J262" s="722"/>
      <c r="K262" s="395" t="s">
        <v>1381</v>
      </c>
    </row>
    <row r="263" spans="1:11" ht="16.5" customHeight="1" hidden="1">
      <c r="A263" s="421" t="s">
        <v>346</v>
      </c>
      <c r="B263" s="426" t="s">
        <v>630</v>
      </c>
      <c r="C263" s="423"/>
      <c r="D263" s="423"/>
      <c r="E263" s="424"/>
      <c r="F263" s="422" t="s">
        <v>1382</v>
      </c>
      <c r="G263" s="423"/>
      <c r="H263" s="423"/>
      <c r="I263" s="425"/>
      <c r="J263" s="722"/>
      <c r="K263" s="395" t="s">
        <v>1383</v>
      </c>
    </row>
    <row r="264" spans="1:11" ht="16.5" customHeight="1" hidden="1" thickBot="1">
      <c r="A264" s="427" t="s">
        <v>347</v>
      </c>
      <c r="B264" s="428"/>
      <c r="C264" s="429"/>
      <c r="D264" s="429"/>
      <c r="E264" s="430"/>
      <c r="F264" s="428"/>
      <c r="G264" s="429"/>
      <c r="H264" s="429"/>
      <c r="I264" s="431"/>
      <c r="J264" s="722"/>
      <c r="K264" s="395" t="s">
        <v>1384</v>
      </c>
    </row>
    <row r="265" spans="1:11" s="437" customFormat="1" ht="16.5" customHeight="1" hidden="1" thickBot="1">
      <c r="A265" s="432" t="s">
        <v>996</v>
      </c>
      <c r="B265" s="433" t="s">
        <v>1385</v>
      </c>
      <c r="C265" s="434">
        <f>SUM(C258:C264)</f>
        <v>0</v>
      </c>
      <c r="D265" s="434">
        <f>SUM(D258:D264)</f>
        <v>0</v>
      </c>
      <c r="E265" s="468">
        <f>SUM(E258:E264)</f>
        <v>0</v>
      </c>
      <c r="F265" s="433" t="s">
        <v>1386</v>
      </c>
      <c r="G265" s="434">
        <f>SUM(G258:G264)</f>
        <v>0</v>
      </c>
      <c r="H265" s="434">
        <f>SUM(H258:H264)</f>
        <v>0</v>
      </c>
      <c r="I265" s="435">
        <f>SUM(I258:I264)</f>
        <v>0</v>
      </c>
      <c r="J265" s="722"/>
      <c r="K265" s="436"/>
    </row>
    <row r="266" spans="1:10" ht="16.5" customHeight="1" hidden="1">
      <c r="A266" s="438" t="s">
        <v>348</v>
      </c>
      <c r="B266" s="439" t="s">
        <v>1387</v>
      </c>
      <c r="C266" s="440"/>
      <c r="D266" s="440"/>
      <c r="E266" s="441"/>
      <c r="F266" s="442" t="s">
        <v>1388</v>
      </c>
      <c r="G266" s="440"/>
      <c r="H266" s="440"/>
      <c r="I266" s="443"/>
      <c r="J266" s="722"/>
    </row>
    <row r="267" spans="1:10" ht="16.5" customHeight="1" hidden="1">
      <c r="A267" s="421" t="s">
        <v>349</v>
      </c>
      <c r="B267" s="444" t="s">
        <v>1389</v>
      </c>
      <c r="C267" s="423"/>
      <c r="D267" s="423"/>
      <c r="E267" s="445"/>
      <c r="F267" s="446" t="s">
        <v>1390</v>
      </c>
      <c r="G267" s="423"/>
      <c r="H267" s="423"/>
      <c r="I267" s="425"/>
      <c r="J267" s="722"/>
    </row>
    <row r="268" spans="1:10" ht="16.5" customHeight="1" hidden="1">
      <c r="A268" s="421" t="s">
        <v>350</v>
      </c>
      <c r="B268" s="447" t="s">
        <v>1391</v>
      </c>
      <c r="C268" s="423"/>
      <c r="D268" s="423"/>
      <c r="E268" s="445"/>
      <c r="F268" s="448" t="s">
        <v>789</v>
      </c>
      <c r="G268" s="423"/>
      <c r="H268" s="423"/>
      <c r="I268" s="425"/>
      <c r="J268" s="722"/>
    </row>
    <row r="269" spans="1:10" ht="16.5" customHeight="1" hidden="1">
      <c r="A269" s="421" t="s">
        <v>351</v>
      </c>
      <c r="B269" s="449" t="s">
        <v>1392</v>
      </c>
      <c r="C269" s="423"/>
      <c r="D269" s="423"/>
      <c r="E269" s="445"/>
      <c r="F269" s="446" t="s">
        <v>1393</v>
      </c>
      <c r="G269" s="423"/>
      <c r="H269" s="423"/>
      <c r="I269" s="425"/>
      <c r="J269" s="722"/>
    </row>
    <row r="270" spans="1:10" ht="16.5" customHeight="1" hidden="1">
      <c r="A270" s="421" t="s">
        <v>352</v>
      </c>
      <c r="B270" s="444" t="s">
        <v>1394</v>
      </c>
      <c r="C270" s="423"/>
      <c r="D270" s="423"/>
      <c r="E270" s="445"/>
      <c r="F270" s="446" t="s">
        <v>1395</v>
      </c>
      <c r="G270" s="423"/>
      <c r="H270" s="423"/>
      <c r="I270" s="425"/>
      <c r="J270" s="722"/>
    </row>
    <row r="271" spans="1:10" ht="16.5" customHeight="1" hidden="1">
      <c r="A271" s="421" t="s">
        <v>353</v>
      </c>
      <c r="B271" s="444"/>
      <c r="C271" s="423"/>
      <c r="D271" s="423"/>
      <c r="E271" s="445"/>
      <c r="F271" s="446"/>
      <c r="G271" s="423"/>
      <c r="H271" s="423"/>
      <c r="I271" s="425"/>
      <c r="J271" s="722"/>
    </row>
    <row r="272" spans="1:10" ht="16.5" customHeight="1" hidden="1" thickBot="1">
      <c r="A272" s="421" t="s">
        <v>998</v>
      </c>
      <c r="B272" s="444"/>
      <c r="C272" s="423"/>
      <c r="D272" s="423"/>
      <c r="E272" s="445"/>
      <c r="F272" s="450"/>
      <c r="G272" s="423"/>
      <c r="H272" s="423"/>
      <c r="I272" s="425"/>
      <c r="J272" s="722"/>
    </row>
    <row r="273" spans="1:11" ht="23.25" customHeight="1" hidden="1" thickBot="1">
      <c r="A273" s="451" t="s">
        <v>1396</v>
      </c>
      <c r="B273" s="452" t="s">
        <v>1397</v>
      </c>
      <c r="C273" s="453">
        <f>SUM(C266:C272)</f>
        <v>0</v>
      </c>
      <c r="D273" s="453">
        <f>SUM(D266:D272)</f>
        <v>0</v>
      </c>
      <c r="E273" s="454">
        <f>SUM(E266:E272)</f>
        <v>0</v>
      </c>
      <c r="F273" s="452" t="s">
        <v>1397</v>
      </c>
      <c r="G273" s="453">
        <f>SUM(G266:G272)</f>
        <v>0</v>
      </c>
      <c r="H273" s="453">
        <f>SUM(H266:H272)</f>
        <v>0</v>
      </c>
      <c r="I273" s="455">
        <f>SUM(I266:I272)</f>
        <v>0</v>
      </c>
      <c r="J273" s="722"/>
      <c r="K273" s="395" t="s">
        <v>1398</v>
      </c>
    </row>
    <row r="274" spans="1:11" ht="16.5" customHeight="1" hidden="1">
      <c r="A274" s="456" t="s">
        <v>999</v>
      </c>
      <c r="B274" s="457" t="s">
        <v>1399</v>
      </c>
      <c r="C274" s="458"/>
      <c r="D274" s="458"/>
      <c r="E274" s="445"/>
      <c r="F274" s="457" t="s">
        <v>895</v>
      </c>
      <c r="G274" s="458"/>
      <c r="H274" s="458"/>
      <c r="I274" s="459"/>
      <c r="J274" s="722"/>
      <c r="K274" s="395" t="s">
        <v>1400</v>
      </c>
    </row>
    <row r="275" spans="1:11" ht="16.5" customHeight="1" hidden="1">
      <c r="A275" s="456" t="s">
        <v>1000</v>
      </c>
      <c r="B275" s="422" t="s">
        <v>1401</v>
      </c>
      <c r="C275" s="458"/>
      <c r="D275" s="458"/>
      <c r="E275" s="445"/>
      <c r="F275" s="422" t="s">
        <v>1402</v>
      </c>
      <c r="G275" s="458"/>
      <c r="H275" s="458"/>
      <c r="I275" s="459"/>
      <c r="J275" s="722"/>
      <c r="K275" s="395" t="s">
        <v>1403</v>
      </c>
    </row>
    <row r="276" spans="1:11" ht="16.5" customHeight="1" hidden="1">
      <c r="A276" s="456" t="s">
        <v>1001</v>
      </c>
      <c r="B276" s="422" t="s">
        <v>1404</v>
      </c>
      <c r="C276" s="458"/>
      <c r="D276" s="458"/>
      <c r="E276" s="445"/>
      <c r="F276" s="422" t="s">
        <v>1405</v>
      </c>
      <c r="G276" s="458"/>
      <c r="H276" s="458"/>
      <c r="I276" s="459"/>
      <c r="J276" s="722"/>
      <c r="K276" s="395" t="s">
        <v>1406</v>
      </c>
    </row>
    <row r="277" spans="1:11" ht="16.5" customHeight="1" hidden="1">
      <c r="A277" s="456" t="s">
        <v>1080</v>
      </c>
      <c r="B277" s="422" t="s">
        <v>1407</v>
      </c>
      <c r="C277" s="458"/>
      <c r="D277" s="458"/>
      <c r="E277" s="445"/>
      <c r="F277" s="422" t="s">
        <v>576</v>
      </c>
      <c r="G277" s="458"/>
      <c r="H277" s="458"/>
      <c r="I277" s="459"/>
      <c r="J277" s="722"/>
      <c r="K277" s="395" t="s">
        <v>1408</v>
      </c>
    </row>
    <row r="278" spans="1:11" ht="16.5" customHeight="1" hidden="1">
      <c r="A278" s="456" t="s">
        <v>1081</v>
      </c>
      <c r="B278" s="422"/>
      <c r="C278" s="458"/>
      <c r="D278" s="458"/>
      <c r="E278" s="445"/>
      <c r="F278" s="422" t="s">
        <v>896</v>
      </c>
      <c r="G278" s="458"/>
      <c r="H278" s="458"/>
      <c r="I278" s="459"/>
      <c r="J278" s="722"/>
      <c r="K278" s="395" t="s">
        <v>1410</v>
      </c>
    </row>
    <row r="279" spans="1:11" ht="16.5" customHeight="1" hidden="1">
      <c r="A279" s="456" t="s">
        <v>1082</v>
      </c>
      <c r="B279" s="426"/>
      <c r="C279" s="458"/>
      <c r="D279" s="458"/>
      <c r="E279" s="445"/>
      <c r="F279" s="422" t="s">
        <v>322</v>
      </c>
      <c r="G279" s="458"/>
      <c r="H279" s="458"/>
      <c r="I279" s="459"/>
      <c r="J279" s="722"/>
      <c r="K279" s="395" t="s">
        <v>1411</v>
      </c>
    </row>
    <row r="280" spans="1:11" ht="16.5" customHeight="1" hidden="1" thickBot="1">
      <c r="A280" s="456" t="s">
        <v>1083</v>
      </c>
      <c r="B280" s="444"/>
      <c r="C280" s="458"/>
      <c r="D280" s="458"/>
      <c r="E280" s="445"/>
      <c r="F280" s="426" t="s">
        <v>1412</v>
      </c>
      <c r="G280" s="458"/>
      <c r="H280" s="458"/>
      <c r="I280" s="459"/>
      <c r="J280" s="722"/>
      <c r="K280" s="395" t="s">
        <v>1413</v>
      </c>
    </row>
    <row r="281" spans="1:11" ht="18" customHeight="1" hidden="1" thickBot="1">
      <c r="A281" s="451" t="s">
        <v>1414</v>
      </c>
      <c r="B281" s="452" t="s">
        <v>1415</v>
      </c>
      <c r="C281" s="453">
        <f>SUM(C274:C280)</f>
        <v>0</v>
      </c>
      <c r="D281" s="453">
        <f>SUM(D274:D280)</f>
        <v>0</v>
      </c>
      <c r="E281" s="454">
        <f>SUM(E274:E280)</f>
        <v>0</v>
      </c>
      <c r="F281" s="452" t="s">
        <v>1415</v>
      </c>
      <c r="G281" s="453">
        <f>SUM(G274:G280)</f>
        <v>0</v>
      </c>
      <c r="H281" s="453">
        <f>SUM(H274:H280)</f>
        <v>0</v>
      </c>
      <c r="I281" s="455">
        <f>SUM(I274:I280)</f>
        <v>0</v>
      </c>
      <c r="J281" s="723"/>
      <c r="K281" s="395" t="s">
        <v>1416</v>
      </c>
    </row>
    <row r="282" spans="1:11" ht="16.5" customHeight="1" hidden="1" thickBot="1">
      <c r="A282" s="451"/>
      <c r="B282" s="460" t="s">
        <v>1417</v>
      </c>
      <c r="C282" s="469">
        <f>C281+C273+C265</f>
        <v>0</v>
      </c>
      <c r="D282" s="469">
        <f>D281+D273+D265</f>
        <v>0</v>
      </c>
      <c r="E282" s="470">
        <f>E281+E273+E265</f>
        <v>0</v>
      </c>
      <c r="F282" s="460" t="s">
        <v>1419</v>
      </c>
      <c r="G282" s="469">
        <f>G281+G273+G265</f>
        <v>0</v>
      </c>
      <c r="H282" s="469">
        <f>H281+H273+H265</f>
        <v>0</v>
      </c>
      <c r="I282" s="471">
        <f>I281+I273+I265</f>
        <v>0</v>
      </c>
      <c r="J282" s="723"/>
      <c r="K282" s="395" t="s">
        <v>1420</v>
      </c>
    </row>
    <row r="283" ht="15" hidden="1"/>
    <row r="284" ht="15" hidden="1">
      <c r="B284" s="465" t="s">
        <v>1421</v>
      </c>
    </row>
    <row r="285" ht="15" hidden="1"/>
    <row r="286" spans="2:6" ht="15" hidden="1">
      <c r="B286" s="466"/>
      <c r="F286" s="467"/>
    </row>
    <row r="287" spans="2:6" ht="15" hidden="1">
      <c r="B287" s="396" t="s">
        <v>909</v>
      </c>
      <c r="F287" s="396" t="s">
        <v>910</v>
      </c>
    </row>
    <row r="289" spans="2:10" ht="31.5" hidden="1">
      <c r="B289" s="392" t="s">
        <v>1429</v>
      </c>
      <c r="C289" s="393"/>
      <c r="D289" s="393"/>
      <c r="E289" s="393"/>
      <c r="F289" s="394"/>
      <c r="G289" s="394"/>
      <c r="H289" s="394"/>
      <c r="I289" s="394"/>
      <c r="J289" s="722" t="s">
        <v>1430</v>
      </c>
    </row>
    <row r="290" spans="7:10" ht="15.75" customHeight="1" hidden="1" thickBot="1">
      <c r="G290" s="398"/>
      <c r="H290" s="398"/>
      <c r="I290" s="398" t="s">
        <v>1364</v>
      </c>
      <c r="J290" s="722"/>
    </row>
    <row r="291" spans="1:10" ht="18" customHeight="1" hidden="1" thickBot="1">
      <c r="A291" s="720" t="s">
        <v>373</v>
      </c>
      <c r="B291" s="399" t="s">
        <v>1365</v>
      </c>
      <c r="C291" s="400"/>
      <c r="D291" s="400"/>
      <c r="E291" s="401"/>
      <c r="F291" s="399" t="s">
        <v>1366</v>
      </c>
      <c r="G291" s="402"/>
      <c r="H291" s="402"/>
      <c r="I291" s="402"/>
      <c r="J291" s="722"/>
    </row>
    <row r="292" spans="1:11" s="408" customFormat="1" ht="35.25" customHeight="1" hidden="1" thickBot="1">
      <c r="A292" s="721"/>
      <c r="B292" s="403" t="s">
        <v>1012</v>
      </c>
      <c r="C292" s="404" t="s">
        <v>1367</v>
      </c>
      <c r="D292" s="405" t="s">
        <v>1368</v>
      </c>
      <c r="E292" s="406" t="s">
        <v>1369</v>
      </c>
      <c r="F292" s="403" t="s">
        <v>1012</v>
      </c>
      <c r="G292" s="404" t="s">
        <v>1367</v>
      </c>
      <c r="H292" s="405" t="s">
        <v>1368</v>
      </c>
      <c r="I292" s="406" t="s">
        <v>1369</v>
      </c>
      <c r="J292" s="722"/>
      <c r="K292" s="407"/>
    </row>
    <row r="293" spans="1:11" s="415" customFormat="1" ht="12" customHeight="1" hidden="1" thickBot="1">
      <c r="A293" s="409" t="s">
        <v>988</v>
      </c>
      <c r="B293" s="410" t="s">
        <v>989</v>
      </c>
      <c r="C293" s="411" t="s">
        <v>990</v>
      </c>
      <c r="D293" s="411" t="s">
        <v>991</v>
      </c>
      <c r="E293" s="412" t="s">
        <v>992</v>
      </c>
      <c r="F293" s="410" t="s">
        <v>993</v>
      </c>
      <c r="G293" s="411" t="s">
        <v>994</v>
      </c>
      <c r="H293" s="411" t="s">
        <v>995</v>
      </c>
      <c r="I293" s="413" t="s">
        <v>996</v>
      </c>
      <c r="J293" s="722"/>
      <c r="K293" s="414"/>
    </row>
    <row r="294" spans="1:11" ht="16.5" customHeight="1" hidden="1">
      <c r="A294" s="416" t="s">
        <v>341</v>
      </c>
      <c r="B294" s="417" t="s">
        <v>1370</v>
      </c>
      <c r="C294" s="418"/>
      <c r="D294" s="418"/>
      <c r="E294" s="419"/>
      <c r="F294" s="417" t="s">
        <v>1371</v>
      </c>
      <c r="G294" s="418"/>
      <c r="H294" s="418"/>
      <c r="I294" s="420"/>
      <c r="J294" s="722"/>
      <c r="K294" s="395" t="s">
        <v>1372</v>
      </c>
    </row>
    <row r="295" spans="1:11" ht="16.5" customHeight="1" hidden="1">
      <c r="A295" s="421" t="s">
        <v>342</v>
      </c>
      <c r="B295" s="422" t="s">
        <v>1373</v>
      </c>
      <c r="C295" s="423"/>
      <c r="D295" s="423"/>
      <c r="E295" s="424"/>
      <c r="F295" s="422" t="s">
        <v>1374</v>
      </c>
      <c r="G295" s="423"/>
      <c r="H295" s="423"/>
      <c r="I295" s="425"/>
      <c r="J295" s="722"/>
      <c r="K295" s="395" t="s">
        <v>1375</v>
      </c>
    </row>
    <row r="296" spans="1:11" ht="16.5" customHeight="1" hidden="1">
      <c r="A296" s="421" t="s">
        <v>343</v>
      </c>
      <c r="B296" s="422" t="s">
        <v>1008</v>
      </c>
      <c r="C296" s="423"/>
      <c r="D296" s="423"/>
      <c r="E296" s="424"/>
      <c r="F296" s="422" t="s">
        <v>1376</v>
      </c>
      <c r="G296" s="423"/>
      <c r="H296" s="423"/>
      <c r="I296" s="425"/>
      <c r="J296" s="722"/>
      <c r="K296" s="395" t="s">
        <v>1377</v>
      </c>
    </row>
    <row r="297" spans="1:11" ht="16.5" customHeight="1" hidden="1">
      <c r="A297" s="421" t="s">
        <v>344</v>
      </c>
      <c r="B297" s="422" t="s">
        <v>708</v>
      </c>
      <c r="C297" s="423"/>
      <c r="D297" s="423"/>
      <c r="E297" s="424"/>
      <c r="F297" s="422" t="s">
        <v>1378</v>
      </c>
      <c r="G297" s="423"/>
      <c r="H297" s="423"/>
      <c r="I297" s="425"/>
      <c r="J297" s="722"/>
      <c r="K297" s="395" t="s">
        <v>1379</v>
      </c>
    </row>
    <row r="298" spans="1:11" ht="16.5" customHeight="1" hidden="1">
      <c r="A298" s="421" t="s">
        <v>345</v>
      </c>
      <c r="B298" s="422" t="s">
        <v>1009</v>
      </c>
      <c r="C298" s="423"/>
      <c r="D298" s="423"/>
      <c r="E298" s="424"/>
      <c r="F298" s="422" t="s">
        <v>1380</v>
      </c>
      <c r="G298" s="423"/>
      <c r="H298" s="423"/>
      <c r="I298" s="423"/>
      <c r="J298" s="722"/>
      <c r="K298" s="395" t="s">
        <v>1381</v>
      </c>
    </row>
    <row r="299" spans="1:11" ht="16.5" customHeight="1" hidden="1">
      <c r="A299" s="421" t="s">
        <v>346</v>
      </c>
      <c r="B299" s="426" t="s">
        <v>630</v>
      </c>
      <c r="C299" s="423"/>
      <c r="D299" s="423"/>
      <c r="E299" s="424"/>
      <c r="F299" s="422" t="s">
        <v>1382</v>
      </c>
      <c r="G299" s="423"/>
      <c r="H299" s="423"/>
      <c r="I299" s="425"/>
      <c r="J299" s="722"/>
      <c r="K299" s="395" t="s">
        <v>1383</v>
      </c>
    </row>
    <row r="300" spans="1:11" ht="16.5" customHeight="1" hidden="1" thickBot="1">
      <c r="A300" s="427" t="s">
        <v>347</v>
      </c>
      <c r="B300" s="428"/>
      <c r="C300" s="429"/>
      <c r="D300" s="429"/>
      <c r="E300" s="430"/>
      <c r="F300" s="428"/>
      <c r="G300" s="429"/>
      <c r="H300" s="429"/>
      <c r="I300" s="431"/>
      <c r="J300" s="722"/>
      <c r="K300" s="395" t="s">
        <v>1384</v>
      </c>
    </row>
    <row r="301" spans="1:11" s="437" customFormat="1" ht="16.5" customHeight="1" hidden="1" thickBot="1">
      <c r="A301" s="432" t="s">
        <v>996</v>
      </c>
      <c r="B301" s="433" t="s">
        <v>1385</v>
      </c>
      <c r="C301" s="434">
        <f>SUM(C294:C300)</f>
        <v>0</v>
      </c>
      <c r="D301" s="434">
        <f>SUM(D294:D300)</f>
        <v>0</v>
      </c>
      <c r="E301" s="468">
        <f>SUM(E294:E300)</f>
        <v>0</v>
      </c>
      <c r="F301" s="433" t="s">
        <v>1386</v>
      </c>
      <c r="G301" s="434">
        <f>SUM(G294:G300)</f>
        <v>0</v>
      </c>
      <c r="H301" s="434">
        <f>SUM(H294:H300)</f>
        <v>0</v>
      </c>
      <c r="I301" s="435">
        <f>SUM(I294:I300)</f>
        <v>0</v>
      </c>
      <c r="J301" s="722"/>
      <c r="K301" s="436"/>
    </row>
    <row r="302" spans="1:10" ht="16.5" customHeight="1" hidden="1">
      <c r="A302" s="438" t="s">
        <v>348</v>
      </c>
      <c r="B302" s="439" t="s">
        <v>1387</v>
      </c>
      <c r="C302" s="440"/>
      <c r="D302" s="440"/>
      <c r="E302" s="441"/>
      <c r="F302" s="442" t="s">
        <v>1388</v>
      </c>
      <c r="G302" s="440"/>
      <c r="H302" s="440"/>
      <c r="I302" s="443"/>
      <c r="J302" s="722"/>
    </row>
    <row r="303" spans="1:10" ht="16.5" customHeight="1" hidden="1">
      <c r="A303" s="421" t="s">
        <v>349</v>
      </c>
      <c r="B303" s="444" t="s">
        <v>1389</v>
      </c>
      <c r="C303" s="423"/>
      <c r="D303" s="423"/>
      <c r="E303" s="445"/>
      <c r="F303" s="446" t="s">
        <v>1390</v>
      </c>
      <c r="G303" s="423"/>
      <c r="H303" s="423"/>
      <c r="I303" s="425"/>
      <c r="J303" s="722"/>
    </row>
    <row r="304" spans="1:10" ht="16.5" customHeight="1" hidden="1">
      <c r="A304" s="421" t="s">
        <v>350</v>
      </c>
      <c r="B304" s="447" t="s">
        <v>1391</v>
      </c>
      <c r="C304" s="423">
        <v>0</v>
      </c>
      <c r="D304" s="423"/>
      <c r="E304" s="445"/>
      <c r="F304" s="448" t="s">
        <v>789</v>
      </c>
      <c r="G304" s="423"/>
      <c r="H304" s="423"/>
      <c r="I304" s="425"/>
      <c r="J304" s="722"/>
    </row>
    <row r="305" spans="1:10" ht="16.5" customHeight="1" hidden="1">
      <c r="A305" s="421" t="s">
        <v>351</v>
      </c>
      <c r="B305" s="449" t="s">
        <v>1392</v>
      </c>
      <c r="C305" s="423"/>
      <c r="D305" s="423"/>
      <c r="E305" s="445"/>
      <c r="F305" s="446" t="s">
        <v>1393</v>
      </c>
      <c r="G305" s="423"/>
      <c r="H305" s="423"/>
      <c r="I305" s="425"/>
      <c r="J305" s="722"/>
    </row>
    <row r="306" spans="1:10" ht="16.5" customHeight="1" hidden="1">
      <c r="A306" s="421" t="s">
        <v>352</v>
      </c>
      <c r="B306" s="444" t="s">
        <v>1394</v>
      </c>
      <c r="C306" s="423"/>
      <c r="D306" s="423"/>
      <c r="E306" s="445"/>
      <c r="F306" s="446" t="s">
        <v>1395</v>
      </c>
      <c r="G306" s="423"/>
      <c r="H306" s="423"/>
      <c r="I306" s="425"/>
      <c r="J306" s="722"/>
    </row>
    <row r="307" spans="1:10" ht="16.5" customHeight="1" hidden="1">
      <c r="A307" s="421" t="s">
        <v>353</v>
      </c>
      <c r="B307" s="444"/>
      <c r="C307" s="423"/>
      <c r="D307" s="423"/>
      <c r="E307" s="445"/>
      <c r="F307" s="446"/>
      <c r="G307" s="423"/>
      <c r="H307" s="423"/>
      <c r="I307" s="425"/>
      <c r="J307" s="722"/>
    </row>
    <row r="308" spans="1:10" ht="16.5" customHeight="1" hidden="1" thickBot="1">
      <c r="A308" s="421" t="s">
        <v>998</v>
      </c>
      <c r="B308" s="444"/>
      <c r="C308" s="423"/>
      <c r="D308" s="423"/>
      <c r="E308" s="445"/>
      <c r="F308" s="450"/>
      <c r="G308" s="423"/>
      <c r="H308" s="423"/>
      <c r="I308" s="425"/>
      <c r="J308" s="722"/>
    </row>
    <row r="309" spans="1:11" ht="23.25" customHeight="1" hidden="1" thickBot="1">
      <c r="A309" s="451" t="s">
        <v>1396</v>
      </c>
      <c r="B309" s="452" t="s">
        <v>1397</v>
      </c>
      <c r="C309" s="453">
        <f>SUM(C302:C308)</f>
        <v>0</v>
      </c>
      <c r="D309" s="453">
        <f>SUM(D302:D308)</f>
        <v>0</v>
      </c>
      <c r="E309" s="454">
        <f>SUM(E302:E308)</f>
        <v>0</v>
      </c>
      <c r="F309" s="452" t="s">
        <v>1397</v>
      </c>
      <c r="G309" s="453">
        <f>SUM(G302:G308)</f>
        <v>0</v>
      </c>
      <c r="H309" s="453">
        <f>SUM(H302:H308)</f>
        <v>0</v>
      </c>
      <c r="I309" s="455">
        <f>SUM(I302:I308)</f>
        <v>0</v>
      </c>
      <c r="J309" s="722"/>
      <c r="K309" s="395" t="s">
        <v>1398</v>
      </c>
    </row>
    <row r="310" spans="1:11" ht="16.5" customHeight="1" hidden="1">
      <c r="A310" s="456" t="s">
        <v>999</v>
      </c>
      <c r="B310" s="457" t="s">
        <v>1399</v>
      </c>
      <c r="C310" s="458"/>
      <c r="D310" s="458"/>
      <c r="E310" s="445"/>
      <c r="F310" s="457" t="s">
        <v>895</v>
      </c>
      <c r="G310" s="458"/>
      <c r="H310" s="458"/>
      <c r="I310" s="459"/>
      <c r="J310" s="722"/>
      <c r="K310" s="395" t="s">
        <v>1400</v>
      </c>
    </row>
    <row r="311" spans="1:11" ht="16.5" customHeight="1" hidden="1">
      <c r="A311" s="456" t="s">
        <v>1000</v>
      </c>
      <c r="B311" s="422" t="s">
        <v>1401</v>
      </c>
      <c r="C311" s="458"/>
      <c r="D311" s="458"/>
      <c r="E311" s="445"/>
      <c r="F311" s="422" t="s">
        <v>1402</v>
      </c>
      <c r="G311" s="458"/>
      <c r="H311" s="458"/>
      <c r="I311" s="459"/>
      <c r="J311" s="722"/>
      <c r="K311" s="395" t="s">
        <v>1403</v>
      </c>
    </row>
    <row r="312" spans="1:11" ht="16.5" customHeight="1" hidden="1">
      <c r="A312" s="456" t="s">
        <v>1001</v>
      </c>
      <c r="B312" s="422" t="s">
        <v>1404</v>
      </c>
      <c r="C312" s="458"/>
      <c r="D312" s="458"/>
      <c r="E312" s="445"/>
      <c r="F312" s="422" t="s">
        <v>1405</v>
      </c>
      <c r="G312" s="458"/>
      <c r="H312" s="458"/>
      <c r="I312" s="459"/>
      <c r="J312" s="722"/>
      <c r="K312" s="395" t="s">
        <v>1406</v>
      </c>
    </row>
    <row r="313" spans="1:11" ht="16.5" customHeight="1" hidden="1">
      <c r="A313" s="456" t="s">
        <v>1080</v>
      </c>
      <c r="B313" s="422" t="s">
        <v>1407</v>
      </c>
      <c r="C313" s="458"/>
      <c r="D313" s="458"/>
      <c r="E313" s="445"/>
      <c r="F313" s="422" t="s">
        <v>576</v>
      </c>
      <c r="G313" s="458"/>
      <c r="H313" s="458"/>
      <c r="I313" s="459"/>
      <c r="J313" s="722"/>
      <c r="K313" s="395" t="s">
        <v>1408</v>
      </c>
    </row>
    <row r="314" spans="1:11" ht="16.5" customHeight="1" hidden="1">
      <c r="A314" s="456" t="s">
        <v>1081</v>
      </c>
      <c r="B314" s="422"/>
      <c r="C314" s="458"/>
      <c r="D314" s="458"/>
      <c r="E314" s="445"/>
      <c r="F314" s="422" t="s">
        <v>896</v>
      </c>
      <c r="G314" s="458"/>
      <c r="H314" s="458"/>
      <c r="I314" s="459"/>
      <c r="J314" s="722"/>
      <c r="K314" s="395" t="s">
        <v>1410</v>
      </c>
    </row>
    <row r="315" spans="1:11" ht="16.5" customHeight="1" hidden="1">
      <c r="A315" s="456" t="s">
        <v>1082</v>
      </c>
      <c r="B315" s="426"/>
      <c r="C315" s="458"/>
      <c r="D315" s="458"/>
      <c r="E315" s="445"/>
      <c r="F315" s="422" t="s">
        <v>322</v>
      </c>
      <c r="G315" s="458"/>
      <c r="H315" s="458"/>
      <c r="I315" s="459"/>
      <c r="J315" s="722"/>
      <c r="K315" s="395" t="s">
        <v>1411</v>
      </c>
    </row>
    <row r="316" spans="1:11" ht="16.5" customHeight="1" hidden="1" thickBot="1">
      <c r="A316" s="456" t="s">
        <v>1083</v>
      </c>
      <c r="B316" s="444"/>
      <c r="C316" s="458"/>
      <c r="D316" s="458"/>
      <c r="E316" s="445"/>
      <c r="F316" s="426" t="s">
        <v>1412</v>
      </c>
      <c r="G316" s="458"/>
      <c r="H316" s="458"/>
      <c r="I316" s="459"/>
      <c r="J316" s="722"/>
      <c r="K316" s="395" t="s">
        <v>1413</v>
      </c>
    </row>
    <row r="317" spans="1:11" ht="18" customHeight="1" hidden="1" thickBot="1">
      <c r="A317" s="451" t="s">
        <v>1414</v>
      </c>
      <c r="B317" s="452" t="s">
        <v>1415</v>
      </c>
      <c r="C317" s="453">
        <f>SUM(C310:C316)</f>
        <v>0</v>
      </c>
      <c r="D317" s="453">
        <f>SUM(D310:D316)</f>
        <v>0</v>
      </c>
      <c r="E317" s="454">
        <f>SUM(E310:E316)</f>
        <v>0</v>
      </c>
      <c r="F317" s="452" t="s">
        <v>1415</v>
      </c>
      <c r="G317" s="453">
        <f>SUM(G310:G316)</f>
        <v>0</v>
      </c>
      <c r="H317" s="453">
        <f>SUM(H310:H316)</f>
        <v>0</v>
      </c>
      <c r="I317" s="455">
        <f>SUM(I310:I316)</f>
        <v>0</v>
      </c>
      <c r="J317" s="723"/>
      <c r="K317" s="395" t="s">
        <v>1416</v>
      </c>
    </row>
    <row r="318" spans="1:11" ht="16.5" customHeight="1" hidden="1" thickBot="1">
      <c r="A318" s="451"/>
      <c r="B318" s="460" t="s">
        <v>1417</v>
      </c>
      <c r="C318" s="469">
        <f>C317+C309+C301</f>
        <v>0</v>
      </c>
      <c r="D318" s="469">
        <f>D317+D309+D301</f>
        <v>0</v>
      </c>
      <c r="E318" s="470">
        <f>E317+E309+E301</f>
        <v>0</v>
      </c>
      <c r="F318" s="460" t="s">
        <v>1419</v>
      </c>
      <c r="G318" s="469">
        <f>G317+G309+G301</f>
        <v>0</v>
      </c>
      <c r="H318" s="469">
        <f>H317+H309+H301</f>
        <v>0</v>
      </c>
      <c r="I318" s="471">
        <f>I317+I309+I301</f>
        <v>0</v>
      </c>
      <c r="J318" s="723"/>
      <c r="K318" s="395" t="s">
        <v>1420</v>
      </c>
    </row>
    <row r="319" ht="15" hidden="1"/>
    <row r="320" ht="15" hidden="1">
      <c r="B320" s="465" t="s">
        <v>1421</v>
      </c>
    </row>
    <row r="321" ht="15" hidden="1"/>
    <row r="322" spans="2:6" ht="15" hidden="1">
      <c r="B322" s="466"/>
      <c r="F322" s="467"/>
    </row>
    <row r="323" spans="2:6" ht="15" hidden="1">
      <c r="B323" s="396" t="s">
        <v>909</v>
      </c>
      <c r="F323" s="396" t="s">
        <v>910</v>
      </c>
    </row>
    <row r="327" spans="2:10" ht="31.5" customHeight="1">
      <c r="B327" s="392" t="s">
        <v>1431</v>
      </c>
      <c r="C327" s="393"/>
      <c r="D327" s="393"/>
      <c r="E327" s="393"/>
      <c r="F327" s="394"/>
      <c r="G327" s="394"/>
      <c r="H327" s="394"/>
      <c r="I327" s="394"/>
      <c r="J327" s="722" t="s">
        <v>1553</v>
      </c>
    </row>
    <row r="328" spans="7:10" ht="15.75" thickBot="1">
      <c r="G328" s="398"/>
      <c r="H328" s="398"/>
      <c r="I328" s="398" t="s">
        <v>1364</v>
      </c>
      <c r="J328" s="722"/>
    </row>
    <row r="329" spans="1:10" ht="18" customHeight="1" thickBot="1">
      <c r="A329" s="720" t="s">
        <v>373</v>
      </c>
      <c r="B329" s="399" t="s">
        <v>1365</v>
      </c>
      <c r="C329" s="400"/>
      <c r="D329" s="400"/>
      <c r="E329" s="401"/>
      <c r="F329" s="399" t="s">
        <v>1366</v>
      </c>
      <c r="G329" s="402"/>
      <c r="H329" s="402"/>
      <c r="I329" s="402"/>
      <c r="J329" s="722"/>
    </row>
    <row r="330" spans="1:11" s="408" customFormat="1" ht="35.25" customHeight="1" thickBot="1">
      <c r="A330" s="721"/>
      <c r="B330" s="403" t="s">
        <v>1012</v>
      </c>
      <c r="C330" s="404" t="s">
        <v>1535</v>
      </c>
      <c r="D330" s="405" t="s">
        <v>1536</v>
      </c>
      <c r="E330" s="406" t="s">
        <v>1537</v>
      </c>
      <c r="F330" s="403" t="s">
        <v>1012</v>
      </c>
      <c r="G330" s="404" t="s">
        <v>1535</v>
      </c>
      <c r="H330" s="405" t="s">
        <v>1536</v>
      </c>
      <c r="I330" s="406" t="s">
        <v>1537</v>
      </c>
      <c r="J330" s="722"/>
      <c r="K330" s="407"/>
    </row>
    <row r="331" spans="1:11" s="415" customFormat="1" ht="12" customHeight="1" thickBot="1">
      <c r="A331" s="409" t="s">
        <v>988</v>
      </c>
      <c r="B331" s="410" t="s">
        <v>989</v>
      </c>
      <c r="C331" s="411" t="s">
        <v>990</v>
      </c>
      <c r="D331" s="411" t="s">
        <v>991</v>
      </c>
      <c r="E331" s="412" t="s">
        <v>992</v>
      </c>
      <c r="F331" s="410" t="s">
        <v>993</v>
      </c>
      <c r="G331" s="411" t="s">
        <v>994</v>
      </c>
      <c r="H331" s="411" t="s">
        <v>995</v>
      </c>
      <c r="I331" s="413" t="s">
        <v>996</v>
      </c>
      <c r="J331" s="722"/>
      <c r="K331" s="414"/>
    </row>
    <row r="332" spans="1:11" ht="16.5" customHeight="1">
      <c r="A332" s="438" t="s">
        <v>341</v>
      </c>
      <c r="B332" s="417" t="s">
        <v>1370</v>
      </c>
      <c r="C332" s="423">
        <f aca="true" t="shared" si="0" ref="C332:E338">C6+C42+C78+C114+C150+C186+C222+C258+C294</f>
        <v>0</v>
      </c>
      <c r="D332" s="423">
        <f t="shared" si="0"/>
        <v>0</v>
      </c>
      <c r="E332" s="423">
        <f t="shared" si="0"/>
        <v>0</v>
      </c>
      <c r="F332" s="417" t="s">
        <v>1371</v>
      </c>
      <c r="G332" s="423">
        <f aca="true" t="shared" si="1" ref="G332:I338">G6+G42+G78+G114+G150+G186+G222+G258+G294</f>
        <v>209445000</v>
      </c>
      <c r="H332" s="423">
        <f t="shared" si="1"/>
        <v>0</v>
      </c>
      <c r="I332" s="423">
        <f t="shared" si="1"/>
        <v>0</v>
      </c>
      <c r="J332" s="722"/>
      <c r="K332" s="395" t="s">
        <v>1372</v>
      </c>
    </row>
    <row r="333" spans="1:11" ht="16.5" customHeight="1">
      <c r="A333" s="421" t="s">
        <v>342</v>
      </c>
      <c r="B333" s="422" t="s">
        <v>1373</v>
      </c>
      <c r="C333" s="423">
        <f t="shared" si="0"/>
        <v>327950000</v>
      </c>
      <c r="D333" s="423">
        <f t="shared" si="0"/>
        <v>0</v>
      </c>
      <c r="E333" s="423">
        <f t="shared" si="0"/>
        <v>0</v>
      </c>
      <c r="F333" s="422" t="s">
        <v>1374</v>
      </c>
      <c r="G333" s="423">
        <f t="shared" si="1"/>
        <v>38673000</v>
      </c>
      <c r="H333" s="423">
        <f t="shared" si="1"/>
        <v>0</v>
      </c>
      <c r="I333" s="423">
        <f t="shared" si="1"/>
        <v>0</v>
      </c>
      <c r="J333" s="722"/>
      <c r="K333" s="395" t="s">
        <v>1375</v>
      </c>
    </row>
    <row r="334" spans="1:11" ht="16.5" customHeight="1">
      <c r="A334" s="421" t="s">
        <v>343</v>
      </c>
      <c r="B334" s="422" t="s">
        <v>1008</v>
      </c>
      <c r="C334" s="423">
        <f t="shared" si="0"/>
        <v>0</v>
      </c>
      <c r="D334" s="423">
        <f t="shared" si="0"/>
        <v>0</v>
      </c>
      <c r="E334" s="423">
        <f t="shared" si="0"/>
        <v>0</v>
      </c>
      <c r="F334" s="422" t="s">
        <v>1376</v>
      </c>
      <c r="G334" s="423">
        <f t="shared" si="1"/>
        <v>73817000</v>
      </c>
      <c r="H334" s="423">
        <f t="shared" si="1"/>
        <v>0</v>
      </c>
      <c r="I334" s="423">
        <f t="shared" si="1"/>
        <v>0</v>
      </c>
      <c r="J334" s="722"/>
      <c r="K334" s="395" t="s">
        <v>1377</v>
      </c>
    </row>
    <row r="335" spans="1:11" ht="16.5" customHeight="1">
      <c r="A335" s="421" t="s">
        <v>344</v>
      </c>
      <c r="B335" s="422" t="s">
        <v>708</v>
      </c>
      <c r="C335" s="423">
        <f t="shared" si="0"/>
        <v>0</v>
      </c>
      <c r="D335" s="423">
        <f t="shared" si="0"/>
        <v>0</v>
      </c>
      <c r="E335" s="423">
        <f t="shared" si="0"/>
        <v>0</v>
      </c>
      <c r="F335" s="422" t="s">
        <v>1378</v>
      </c>
      <c r="G335" s="423">
        <f t="shared" si="1"/>
        <v>0</v>
      </c>
      <c r="H335" s="423">
        <f t="shared" si="1"/>
        <v>0</v>
      </c>
      <c r="I335" s="423">
        <f t="shared" si="1"/>
        <v>0</v>
      </c>
      <c r="J335" s="722"/>
      <c r="K335" s="395" t="s">
        <v>1379</v>
      </c>
    </row>
    <row r="336" spans="1:11" ht="16.5" customHeight="1">
      <c r="A336" s="421" t="s">
        <v>345</v>
      </c>
      <c r="B336" s="422" t="s">
        <v>1009</v>
      </c>
      <c r="C336" s="423">
        <f t="shared" si="0"/>
        <v>0</v>
      </c>
      <c r="D336" s="423">
        <f t="shared" si="0"/>
        <v>0</v>
      </c>
      <c r="E336" s="423">
        <f t="shared" si="0"/>
        <v>0</v>
      </c>
      <c r="F336" s="422" t="s">
        <v>1380</v>
      </c>
      <c r="G336" s="423">
        <f t="shared" si="1"/>
        <v>4024000</v>
      </c>
      <c r="H336" s="423">
        <f t="shared" si="1"/>
        <v>0</v>
      </c>
      <c r="I336" s="423">
        <f t="shared" si="1"/>
        <v>0</v>
      </c>
      <c r="J336" s="722"/>
      <c r="K336" s="395" t="s">
        <v>1381</v>
      </c>
    </row>
    <row r="337" spans="1:11" ht="16.5" customHeight="1">
      <c r="A337" s="421" t="s">
        <v>346</v>
      </c>
      <c r="B337" s="426" t="s">
        <v>630</v>
      </c>
      <c r="C337" s="423">
        <f t="shared" si="0"/>
        <v>0</v>
      </c>
      <c r="D337" s="423">
        <f t="shared" si="0"/>
        <v>0</v>
      </c>
      <c r="E337" s="423">
        <f t="shared" si="0"/>
        <v>0</v>
      </c>
      <c r="F337" s="422" t="s">
        <v>1382</v>
      </c>
      <c r="G337" s="423">
        <f t="shared" si="1"/>
        <v>0</v>
      </c>
      <c r="H337" s="423">
        <f t="shared" si="1"/>
        <v>0</v>
      </c>
      <c r="I337" s="423">
        <f t="shared" si="1"/>
        <v>0</v>
      </c>
      <c r="J337" s="722"/>
      <c r="K337" s="395" t="s">
        <v>1383</v>
      </c>
    </row>
    <row r="338" spans="1:11" ht="16.5" customHeight="1" thickBot="1">
      <c r="A338" s="427" t="s">
        <v>347</v>
      </c>
      <c r="B338" s="428"/>
      <c r="C338" s="423">
        <f t="shared" si="0"/>
        <v>0</v>
      </c>
      <c r="D338" s="423">
        <f t="shared" si="0"/>
        <v>0</v>
      </c>
      <c r="E338" s="423">
        <f t="shared" si="0"/>
        <v>0</v>
      </c>
      <c r="F338" s="428"/>
      <c r="G338" s="423">
        <f t="shared" si="1"/>
        <v>0</v>
      </c>
      <c r="H338" s="423">
        <f t="shared" si="1"/>
        <v>0</v>
      </c>
      <c r="I338" s="423">
        <f t="shared" si="1"/>
        <v>0</v>
      </c>
      <c r="J338" s="722"/>
      <c r="K338" s="395" t="s">
        <v>1384</v>
      </c>
    </row>
    <row r="339" spans="1:11" s="437" customFormat="1" ht="16.5" customHeight="1" thickBot="1">
      <c r="A339" s="432" t="s">
        <v>996</v>
      </c>
      <c r="B339" s="433" t="s">
        <v>1385</v>
      </c>
      <c r="C339" s="434">
        <f>SUM(C332:C338)</f>
        <v>327950000</v>
      </c>
      <c r="D339" s="434">
        <f>SUM(D332:D338)</f>
        <v>0</v>
      </c>
      <c r="E339" s="434">
        <f>SUM(E332:E338)</f>
        <v>0</v>
      </c>
      <c r="F339" s="433" t="s">
        <v>1386</v>
      </c>
      <c r="G339" s="434">
        <f>SUM(G332:G338)</f>
        <v>325959000</v>
      </c>
      <c r="H339" s="434">
        <f>SUM(H332:H338)</f>
        <v>0</v>
      </c>
      <c r="I339" s="434">
        <f>SUM(I332:I338)</f>
        <v>0</v>
      </c>
      <c r="J339" s="722"/>
      <c r="K339" s="436"/>
    </row>
    <row r="340" spans="1:10" ht="16.5" customHeight="1">
      <c r="A340" s="438" t="s">
        <v>348</v>
      </c>
      <c r="B340" s="439" t="s">
        <v>1387</v>
      </c>
      <c r="C340" s="423">
        <f aca="true" t="shared" si="2" ref="C340:E346">C14+C50+C86+C122+C158+C194+C230+C266+C302</f>
        <v>0</v>
      </c>
      <c r="D340" s="423">
        <f t="shared" si="2"/>
        <v>0</v>
      </c>
      <c r="E340" s="423">
        <f t="shared" si="2"/>
        <v>0</v>
      </c>
      <c r="F340" s="442" t="s">
        <v>1388</v>
      </c>
      <c r="G340" s="423">
        <f aca="true" t="shared" si="3" ref="G340:I346">G14+G50+G86+G122+G158+G194+G230+G266+G302</f>
        <v>0</v>
      </c>
      <c r="H340" s="423">
        <f t="shared" si="3"/>
        <v>0</v>
      </c>
      <c r="I340" s="423">
        <f t="shared" si="3"/>
        <v>0</v>
      </c>
      <c r="J340" s="722"/>
    </row>
    <row r="341" spans="1:10" ht="16.5" customHeight="1">
      <c r="A341" s="421" t="s">
        <v>349</v>
      </c>
      <c r="B341" s="444" t="s">
        <v>1389</v>
      </c>
      <c r="C341" s="423">
        <f t="shared" si="2"/>
        <v>0</v>
      </c>
      <c r="D341" s="423">
        <f t="shared" si="2"/>
        <v>0</v>
      </c>
      <c r="E341" s="423">
        <f t="shared" si="2"/>
        <v>0</v>
      </c>
      <c r="F341" s="446" t="s">
        <v>1390</v>
      </c>
      <c r="G341" s="423">
        <f t="shared" si="3"/>
        <v>0</v>
      </c>
      <c r="H341" s="423">
        <f t="shared" si="3"/>
        <v>0</v>
      </c>
      <c r="I341" s="423">
        <f t="shared" si="3"/>
        <v>0</v>
      </c>
      <c r="J341" s="722"/>
    </row>
    <row r="342" spans="1:10" ht="16.5" customHeight="1">
      <c r="A342" s="421" t="s">
        <v>350</v>
      </c>
      <c r="B342" s="447" t="s">
        <v>1391</v>
      </c>
      <c r="C342" s="423">
        <f t="shared" si="2"/>
        <v>-12740000</v>
      </c>
      <c r="D342" s="423">
        <f t="shared" si="2"/>
        <v>0</v>
      </c>
      <c r="E342" s="423">
        <f t="shared" si="2"/>
        <v>0</v>
      </c>
      <c r="F342" s="448" t="s">
        <v>789</v>
      </c>
      <c r="G342" s="423">
        <f t="shared" si="3"/>
        <v>0</v>
      </c>
      <c r="H342" s="423">
        <f t="shared" si="3"/>
        <v>0</v>
      </c>
      <c r="I342" s="423">
        <f t="shared" si="3"/>
        <v>0</v>
      </c>
      <c r="J342" s="722"/>
    </row>
    <row r="343" spans="1:10" ht="16.5" customHeight="1">
      <c r="A343" s="421" t="s">
        <v>351</v>
      </c>
      <c r="B343" s="449" t="s">
        <v>1392</v>
      </c>
      <c r="C343" s="423">
        <f t="shared" si="2"/>
        <v>0</v>
      </c>
      <c r="D343" s="423">
        <f t="shared" si="2"/>
        <v>0</v>
      </c>
      <c r="E343" s="423">
        <f t="shared" si="2"/>
        <v>0</v>
      </c>
      <c r="F343" s="446" t="s">
        <v>1393</v>
      </c>
      <c r="G343" s="423">
        <f t="shared" si="3"/>
        <v>0</v>
      </c>
      <c r="H343" s="423">
        <f t="shared" si="3"/>
        <v>0</v>
      </c>
      <c r="I343" s="423">
        <f t="shared" si="3"/>
        <v>0</v>
      </c>
      <c r="J343" s="722"/>
    </row>
    <row r="344" spans="1:10" ht="16.5" customHeight="1">
      <c r="A344" s="421" t="s">
        <v>352</v>
      </c>
      <c r="B344" s="444" t="s">
        <v>1394</v>
      </c>
      <c r="C344" s="423">
        <f t="shared" si="2"/>
        <v>0</v>
      </c>
      <c r="D344" s="423">
        <f t="shared" si="2"/>
        <v>0</v>
      </c>
      <c r="E344" s="423">
        <f t="shared" si="2"/>
        <v>0</v>
      </c>
      <c r="F344" s="446" t="s">
        <v>1395</v>
      </c>
      <c r="G344" s="423">
        <f t="shared" si="3"/>
        <v>0</v>
      </c>
      <c r="H344" s="423">
        <f t="shared" si="3"/>
        <v>0</v>
      </c>
      <c r="I344" s="423">
        <f t="shared" si="3"/>
        <v>0</v>
      </c>
      <c r="J344" s="722"/>
    </row>
    <row r="345" spans="1:10" ht="16.5" customHeight="1">
      <c r="A345" s="421" t="s">
        <v>353</v>
      </c>
      <c r="B345" s="448" t="s">
        <v>851</v>
      </c>
      <c r="C345" s="423">
        <f>C19+C55+C91+C127+C163+C199+C235+C271+C307</f>
        <v>12740000</v>
      </c>
      <c r="D345" s="423">
        <f t="shared" si="2"/>
        <v>0</v>
      </c>
      <c r="E345" s="423">
        <f t="shared" si="2"/>
        <v>0</v>
      </c>
      <c r="F345" s="446"/>
      <c r="G345" s="423">
        <f t="shared" si="3"/>
        <v>0</v>
      </c>
      <c r="H345" s="423">
        <f t="shared" si="3"/>
        <v>0</v>
      </c>
      <c r="I345" s="423">
        <f t="shared" si="3"/>
        <v>0</v>
      </c>
      <c r="J345" s="722"/>
    </row>
    <row r="346" spans="1:10" ht="16.5" customHeight="1" thickBot="1">
      <c r="A346" s="421" t="s">
        <v>998</v>
      </c>
      <c r="B346" s="444"/>
      <c r="C346" s="423">
        <f t="shared" si="2"/>
        <v>0</v>
      </c>
      <c r="D346" s="423">
        <f t="shared" si="2"/>
        <v>0</v>
      </c>
      <c r="E346" s="423">
        <f t="shared" si="2"/>
        <v>0</v>
      </c>
      <c r="F346" s="450"/>
      <c r="G346" s="423">
        <f t="shared" si="3"/>
        <v>0</v>
      </c>
      <c r="H346" s="423">
        <f t="shared" si="3"/>
        <v>0</v>
      </c>
      <c r="I346" s="423">
        <f t="shared" si="3"/>
        <v>0</v>
      </c>
      <c r="J346" s="722"/>
    </row>
    <row r="347" spans="1:11" ht="18.75" customHeight="1" thickBot="1">
      <c r="A347" s="451" t="s">
        <v>1396</v>
      </c>
      <c r="B347" s="452" t="s">
        <v>1397</v>
      </c>
      <c r="C347" s="453">
        <f>SUM(C340:C346)</f>
        <v>0</v>
      </c>
      <c r="D347" s="453">
        <f>SUM(D340:D346)</f>
        <v>0</v>
      </c>
      <c r="E347" s="453">
        <f>SUM(E340:E346)</f>
        <v>0</v>
      </c>
      <c r="F347" s="452" t="s">
        <v>1397</v>
      </c>
      <c r="G347" s="453">
        <f>SUM(G340:G346)</f>
        <v>0</v>
      </c>
      <c r="H347" s="453">
        <f>SUM(H340:H346)</f>
        <v>0</v>
      </c>
      <c r="I347" s="453">
        <f>SUM(I340:I346)</f>
        <v>0</v>
      </c>
      <c r="J347" s="722"/>
      <c r="K347" s="395" t="s">
        <v>1398</v>
      </c>
    </row>
    <row r="348" spans="1:11" ht="16.5" customHeight="1">
      <c r="A348" s="456" t="s">
        <v>999</v>
      </c>
      <c r="B348" s="457" t="s">
        <v>1399</v>
      </c>
      <c r="C348" s="423">
        <f aca="true" t="shared" si="4" ref="C348:E354">C22+C58+C94+C130+C166+C202+C238+C274+C310</f>
        <v>0</v>
      </c>
      <c r="D348" s="423">
        <f t="shared" si="4"/>
        <v>0</v>
      </c>
      <c r="E348" s="423">
        <f t="shared" si="4"/>
        <v>0</v>
      </c>
      <c r="F348" s="457" t="s">
        <v>895</v>
      </c>
      <c r="G348" s="423">
        <f aca="true" t="shared" si="5" ref="G348:I354">G22+G58+G94+G130+G166+G202+G238+G274+G310</f>
        <v>300000</v>
      </c>
      <c r="H348" s="423">
        <f t="shared" si="5"/>
        <v>0</v>
      </c>
      <c r="I348" s="423">
        <f t="shared" si="5"/>
        <v>0</v>
      </c>
      <c r="J348" s="722"/>
      <c r="K348" s="395" t="s">
        <v>1400</v>
      </c>
    </row>
    <row r="349" spans="1:11" ht="16.5" customHeight="1">
      <c r="A349" s="456" t="s">
        <v>1000</v>
      </c>
      <c r="B349" s="422" t="s">
        <v>1401</v>
      </c>
      <c r="C349" s="423">
        <f t="shared" si="4"/>
        <v>0</v>
      </c>
      <c r="D349" s="423">
        <f t="shared" si="4"/>
        <v>0</v>
      </c>
      <c r="E349" s="423">
        <f t="shared" si="4"/>
        <v>0</v>
      </c>
      <c r="F349" s="422" t="s">
        <v>1402</v>
      </c>
      <c r="G349" s="423">
        <f t="shared" si="5"/>
        <v>253000</v>
      </c>
      <c r="H349" s="423">
        <f t="shared" si="5"/>
        <v>0</v>
      </c>
      <c r="I349" s="423">
        <f t="shared" si="5"/>
        <v>0</v>
      </c>
      <c r="J349" s="722"/>
      <c r="K349" s="395" t="s">
        <v>1403</v>
      </c>
    </row>
    <row r="350" spans="1:11" ht="16.5" customHeight="1">
      <c r="A350" s="456" t="s">
        <v>1001</v>
      </c>
      <c r="B350" s="422" t="s">
        <v>1404</v>
      </c>
      <c r="C350" s="423">
        <f t="shared" si="4"/>
        <v>0</v>
      </c>
      <c r="D350" s="423">
        <f t="shared" si="4"/>
        <v>0</v>
      </c>
      <c r="E350" s="423">
        <f t="shared" si="4"/>
        <v>0</v>
      </c>
      <c r="F350" s="422" t="s">
        <v>1405</v>
      </c>
      <c r="G350" s="423">
        <f t="shared" si="5"/>
        <v>314340</v>
      </c>
      <c r="H350" s="423">
        <f t="shared" si="5"/>
        <v>0</v>
      </c>
      <c r="I350" s="423">
        <f t="shared" si="5"/>
        <v>0</v>
      </c>
      <c r="J350" s="722"/>
      <c r="K350" s="395" t="s">
        <v>1406</v>
      </c>
    </row>
    <row r="351" spans="1:11" ht="16.5" customHeight="1">
      <c r="A351" s="456" t="s">
        <v>1080</v>
      </c>
      <c r="B351" s="422" t="s">
        <v>1407</v>
      </c>
      <c r="C351" s="423">
        <f t="shared" si="4"/>
        <v>0</v>
      </c>
      <c r="D351" s="423">
        <f t="shared" si="4"/>
        <v>0</v>
      </c>
      <c r="E351" s="423">
        <f t="shared" si="4"/>
        <v>0</v>
      </c>
      <c r="F351" s="422" t="s">
        <v>576</v>
      </c>
      <c r="G351" s="423">
        <f t="shared" si="5"/>
        <v>0</v>
      </c>
      <c r="H351" s="423">
        <f t="shared" si="5"/>
        <v>0</v>
      </c>
      <c r="I351" s="423">
        <f t="shared" si="5"/>
        <v>0</v>
      </c>
      <c r="J351" s="722"/>
      <c r="K351" s="395" t="s">
        <v>1408</v>
      </c>
    </row>
    <row r="352" spans="1:11" ht="16.5" customHeight="1">
      <c r="A352" s="456" t="s">
        <v>1081</v>
      </c>
      <c r="B352" s="422"/>
      <c r="C352" s="423">
        <f t="shared" si="4"/>
        <v>0</v>
      </c>
      <c r="D352" s="423">
        <f t="shared" si="4"/>
        <v>0</v>
      </c>
      <c r="E352" s="423">
        <f t="shared" si="4"/>
        <v>0</v>
      </c>
      <c r="F352" s="422" t="s">
        <v>896</v>
      </c>
      <c r="G352" s="423">
        <f t="shared" si="5"/>
        <v>234659.8</v>
      </c>
      <c r="H352" s="423">
        <f t="shared" si="5"/>
        <v>0</v>
      </c>
      <c r="I352" s="423">
        <f t="shared" si="5"/>
        <v>0</v>
      </c>
      <c r="J352" s="722"/>
      <c r="K352" s="395" t="s">
        <v>1410</v>
      </c>
    </row>
    <row r="353" spans="1:11" ht="16.5" customHeight="1">
      <c r="A353" s="456" t="s">
        <v>1082</v>
      </c>
      <c r="B353" s="426"/>
      <c r="C353" s="423">
        <f t="shared" si="4"/>
        <v>0</v>
      </c>
      <c r="D353" s="423">
        <f t="shared" si="4"/>
        <v>0</v>
      </c>
      <c r="E353" s="423">
        <f t="shared" si="4"/>
        <v>0</v>
      </c>
      <c r="F353" s="422" t="s">
        <v>322</v>
      </c>
      <c r="G353" s="423">
        <f t="shared" si="5"/>
        <v>889000</v>
      </c>
      <c r="H353" s="423">
        <f t="shared" si="5"/>
        <v>0</v>
      </c>
      <c r="I353" s="423">
        <f t="shared" si="5"/>
        <v>0</v>
      </c>
      <c r="J353" s="722"/>
      <c r="K353" s="395" t="s">
        <v>1411</v>
      </c>
    </row>
    <row r="354" spans="1:11" ht="16.5" customHeight="1" thickBot="1">
      <c r="A354" s="456" t="s">
        <v>1083</v>
      </c>
      <c r="B354" s="444"/>
      <c r="C354" s="423">
        <f t="shared" si="4"/>
        <v>0</v>
      </c>
      <c r="D354" s="423">
        <f t="shared" si="4"/>
        <v>0</v>
      </c>
      <c r="E354" s="423">
        <f t="shared" si="4"/>
        <v>0</v>
      </c>
      <c r="F354" s="426" t="s">
        <v>1412</v>
      </c>
      <c r="G354" s="423">
        <f t="shared" si="5"/>
        <v>0</v>
      </c>
      <c r="H354" s="423">
        <f t="shared" si="5"/>
        <v>0</v>
      </c>
      <c r="I354" s="423">
        <f t="shared" si="5"/>
        <v>0</v>
      </c>
      <c r="J354" s="722"/>
      <c r="K354" s="395" t="s">
        <v>1413</v>
      </c>
    </row>
    <row r="355" spans="1:11" ht="18" customHeight="1" thickBot="1">
      <c r="A355" s="451" t="s">
        <v>1414</v>
      </c>
      <c r="B355" s="452" t="s">
        <v>1415</v>
      </c>
      <c r="C355" s="453">
        <f>SUM(C348:C354)</f>
        <v>0</v>
      </c>
      <c r="D355" s="453">
        <f>SUM(D348:D354)</f>
        <v>0</v>
      </c>
      <c r="E355" s="453">
        <f>SUM(E348:E354)</f>
        <v>0</v>
      </c>
      <c r="F355" s="452" t="s">
        <v>1415</v>
      </c>
      <c r="G355" s="453">
        <f>SUM(G348:G354)</f>
        <v>1990999.8</v>
      </c>
      <c r="H355" s="453">
        <f>SUM(H348:H354)</f>
        <v>0</v>
      </c>
      <c r="I355" s="453">
        <f>SUM(I348:I354)</f>
        <v>0</v>
      </c>
      <c r="J355" s="723"/>
      <c r="K355" s="395" t="s">
        <v>1416</v>
      </c>
    </row>
    <row r="356" spans="1:11" ht="16.5" customHeight="1" thickBot="1">
      <c r="A356" s="451"/>
      <c r="B356" s="460" t="s">
        <v>1417</v>
      </c>
      <c r="C356" s="469">
        <f>C355+C347+C339</f>
        <v>327950000</v>
      </c>
      <c r="D356" s="469">
        <f>D355+D347+D339</f>
        <v>0</v>
      </c>
      <c r="E356" s="469">
        <f>E355+E347+E339</f>
        <v>0</v>
      </c>
      <c r="F356" s="460" t="s">
        <v>1419</v>
      </c>
      <c r="G356" s="469">
        <f>G355+G347+G339</f>
        <v>327949999.8</v>
      </c>
      <c r="H356" s="469">
        <f>H355+H347+H339</f>
        <v>0</v>
      </c>
      <c r="I356" s="469">
        <f>I355+I347+I339</f>
        <v>0</v>
      </c>
      <c r="J356" s="723"/>
      <c r="K356" s="395" t="s">
        <v>1420</v>
      </c>
    </row>
    <row r="358" ht="15">
      <c r="B358" s="6" t="s">
        <v>1543</v>
      </c>
    </row>
    <row r="360" spans="2:6" ht="15">
      <c r="B360" s="466"/>
      <c r="F360" s="467"/>
    </row>
    <row r="361" spans="2:6" ht="15">
      <c r="B361" s="396" t="s">
        <v>909</v>
      </c>
      <c r="F361" s="396" t="s">
        <v>910</v>
      </c>
    </row>
  </sheetData>
  <sheetProtection/>
  <mergeCells count="20">
    <mergeCell ref="J327:J356"/>
    <mergeCell ref="A329:A330"/>
    <mergeCell ref="J217:J246"/>
    <mergeCell ref="A219:A220"/>
    <mergeCell ref="J253:J282"/>
    <mergeCell ref="A255:A256"/>
    <mergeCell ref="J289:J318"/>
    <mergeCell ref="A291:A292"/>
    <mergeCell ref="J109:J138"/>
    <mergeCell ref="A111:A112"/>
    <mergeCell ref="J145:J174"/>
    <mergeCell ref="A147:A148"/>
    <mergeCell ref="J181:J210"/>
    <mergeCell ref="A183:A184"/>
    <mergeCell ref="J1:J30"/>
    <mergeCell ref="A3:A4"/>
    <mergeCell ref="J37:J66"/>
    <mergeCell ref="A39:A40"/>
    <mergeCell ref="J73:J102"/>
    <mergeCell ref="A75:A76"/>
  </mergeCells>
  <printOptions/>
  <pageMargins left="0.7086614173228347" right="0.7086614173228347" top="0" bottom="0" header="0.31496062992125984" footer="0.31496062992125984"/>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F52"/>
  <sheetViews>
    <sheetView zoomScalePageLayoutView="0" workbookViewId="0" topLeftCell="A1">
      <selection activeCell="F52" sqref="A1:F52"/>
    </sheetView>
  </sheetViews>
  <sheetFormatPr defaultColWidth="9.140625" defaultRowHeight="15"/>
  <cols>
    <col min="1" max="1" width="36.7109375" style="186" customWidth="1"/>
    <col min="2" max="6" width="13.7109375" style="185" customWidth="1"/>
    <col min="7" max="16384" width="9.140625" style="186" customWidth="1"/>
  </cols>
  <sheetData>
    <row r="1" ht="15.75">
      <c r="A1" s="4" t="s">
        <v>1010</v>
      </c>
    </row>
    <row r="2" ht="15.75">
      <c r="F2" s="187" t="s">
        <v>1011</v>
      </c>
    </row>
    <row r="3" spans="1:6" ht="15.75">
      <c r="A3" s="724" t="s">
        <v>1012</v>
      </c>
      <c r="B3" s="725" t="s">
        <v>1013</v>
      </c>
      <c r="C3" s="725"/>
      <c r="D3" s="725"/>
      <c r="E3" s="725"/>
      <c r="F3" s="725"/>
    </row>
    <row r="4" spans="1:6" ht="15.75">
      <c r="A4" s="724"/>
      <c r="B4" s="188" t="s">
        <v>1498</v>
      </c>
      <c r="C4" s="188" t="s">
        <v>1499</v>
      </c>
      <c r="D4" s="188" t="s">
        <v>1500</v>
      </c>
      <c r="E4" s="188" t="s">
        <v>1501</v>
      </c>
      <c r="F4" s="188" t="s">
        <v>1534</v>
      </c>
    </row>
    <row r="5" spans="1:6" ht="15.75">
      <c r="A5" s="189" t="s">
        <v>1014</v>
      </c>
      <c r="B5" s="190">
        <f>SUM(B6:B7)</f>
        <v>85100000</v>
      </c>
      <c r="C5" s="190">
        <f>SUM(C6:C7)</f>
        <v>85100000</v>
      </c>
      <c r="D5" s="190">
        <f>SUM(D6:D7)</f>
        <v>85100000</v>
      </c>
      <c r="E5" s="190">
        <f>SUM(E6:E7)</f>
        <v>85100000</v>
      </c>
      <c r="F5" s="190">
        <f>SUM(F6:F7)</f>
        <v>85100000</v>
      </c>
    </row>
    <row r="6" spans="1:6" s="193" customFormat="1" ht="12.75">
      <c r="A6" s="191" t="s">
        <v>1015</v>
      </c>
      <c r="B6" s="192">
        <v>85100000</v>
      </c>
      <c r="C6" s="192">
        <v>85100000</v>
      </c>
      <c r="D6" s="192">
        <v>85100000</v>
      </c>
      <c r="E6" s="192">
        <v>85100000</v>
      </c>
      <c r="F6" s="192">
        <v>85100000</v>
      </c>
    </row>
    <row r="7" spans="1:6" s="193" customFormat="1" ht="12.75">
      <c r="A7" s="191" t="s">
        <v>913</v>
      </c>
      <c r="B7" s="192"/>
      <c r="C7" s="192"/>
      <c r="D7" s="192"/>
      <c r="E7" s="192"/>
      <c r="F7" s="192"/>
    </row>
    <row r="8" spans="1:6" ht="15.75">
      <c r="A8" s="189" t="s">
        <v>1016</v>
      </c>
      <c r="B8" s="190">
        <f>SUM(B9:B10)</f>
        <v>0</v>
      </c>
      <c r="C8" s="190">
        <f>SUM(C9:C10)</f>
        <v>0</v>
      </c>
      <c r="D8" s="190">
        <f>SUM(D9:D10)</f>
        <v>0</v>
      </c>
      <c r="E8" s="190">
        <f>SUM(E9:E10)</f>
        <v>0</v>
      </c>
      <c r="F8" s="190">
        <f>SUM(F9:F10)</f>
        <v>0</v>
      </c>
    </row>
    <row r="9" spans="1:6" s="193" customFormat="1" ht="12.75">
      <c r="A9" s="191" t="s">
        <v>1015</v>
      </c>
      <c r="B9" s="192"/>
      <c r="C9" s="192"/>
      <c r="D9" s="192"/>
      <c r="E9" s="192"/>
      <c r="F9" s="192"/>
    </row>
    <row r="10" spans="1:6" s="193" customFormat="1" ht="12.75">
      <c r="A10" s="191" t="s">
        <v>913</v>
      </c>
      <c r="B10" s="192"/>
      <c r="C10" s="192"/>
      <c r="D10" s="192"/>
      <c r="E10" s="192"/>
      <c r="F10" s="192"/>
    </row>
    <row r="11" spans="1:6" ht="15.75">
      <c r="A11" s="189" t="s">
        <v>1017</v>
      </c>
      <c r="B11" s="190">
        <f>SUM(B12:B13)</f>
        <v>0</v>
      </c>
      <c r="C11" s="190">
        <f>SUM(C12:C13)</f>
        <v>0</v>
      </c>
      <c r="D11" s="190">
        <f>SUM(D12:D13)</f>
        <v>0</v>
      </c>
      <c r="E11" s="190">
        <f>SUM(E12:E13)</f>
        <v>0</v>
      </c>
      <c r="F11" s="190">
        <f>SUM(F12:F13)</f>
        <v>0</v>
      </c>
    </row>
    <row r="12" spans="1:6" s="193" customFormat="1" ht="12.75">
      <c r="A12" s="191" t="s">
        <v>1015</v>
      </c>
      <c r="B12" s="192"/>
      <c r="C12" s="192"/>
      <c r="D12" s="192"/>
      <c r="E12" s="192"/>
      <c r="F12" s="192"/>
    </row>
    <row r="13" spans="1:6" s="193" customFormat="1" ht="12.75">
      <c r="A13" s="191" t="s">
        <v>913</v>
      </c>
      <c r="B13" s="192"/>
      <c r="C13" s="192"/>
      <c r="D13" s="192"/>
      <c r="E13" s="192"/>
      <c r="F13" s="192"/>
    </row>
    <row r="14" spans="2:6" s="194" customFormat="1" ht="15.75">
      <c r="B14" s="195"/>
      <c r="C14" s="195"/>
      <c r="D14" s="195"/>
      <c r="E14" s="195"/>
      <c r="F14" s="195"/>
    </row>
    <row r="15" spans="1:6" ht="15.75">
      <c r="A15" s="189" t="s">
        <v>1018</v>
      </c>
      <c r="B15" s="190">
        <f>SUM(B16:B17)</f>
        <v>39100000</v>
      </c>
      <c r="C15" s="190">
        <f>SUM(C16:C17)</f>
        <v>39100000</v>
      </c>
      <c r="D15" s="190">
        <f>SUM(D16:D17)</f>
        <v>39100000</v>
      </c>
      <c r="E15" s="190">
        <f>SUM(E16:E17)</f>
        <v>39100000</v>
      </c>
      <c r="F15" s="190">
        <f>SUM(F16:F17)</f>
        <v>39100000</v>
      </c>
    </row>
    <row r="16" spans="1:6" s="193" customFormat="1" ht="12.75">
      <c r="A16" s="191" t="s">
        <v>1015</v>
      </c>
      <c r="B16" s="192">
        <v>39100000</v>
      </c>
      <c r="C16" s="192">
        <v>39100000</v>
      </c>
      <c r="D16" s="192">
        <v>39100000</v>
      </c>
      <c r="E16" s="192">
        <v>39100000</v>
      </c>
      <c r="F16" s="192">
        <v>39100000</v>
      </c>
    </row>
    <row r="17" spans="1:6" s="193" customFormat="1" ht="12.75">
      <c r="A17" s="191" t="s">
        <v>913</v>
      </c>
      <c r="B17" s="192">
        <v>0</v>
      </c>
      <c r="C17" s="192"/>
      <c r="D17" s="192"/>
      <c r="E17" s="192"/>
      <c r="F17" s="192"/>
    </row>
    <row r="18" spans="1:6" ht="15.75">
      <c r="A18" s="189" t="s">
        <v>1016</v>
      </c>
      <c r="B18" s="190">
        <f>SUM(B19:B20)</f>
        <v>0</v>
      </c>
      <c r="C18" s="190">
        <f>SUM(C19:C20)</f>
        <v>0</v>
      </c>
      <c r="D18" s="190">
        <f>SUM(D19:D20)</f>
        <v>0</v>
      </c>
      <c r="E18" s="190">
        <f>SUM(E19:E20)</f>
        <v>0</v>
      </c>
      <c r="F18" s="190">
        <f>SUM(F19:F20)</f>
        <v>0</v>
      </c>
    </row>
    <row r="19" spans="1:6" s="193" customFormat="1" ht="12.75">
      <c r="A19" s="191" t="s">
        <v>1015</v>
      </c>
      <c r="B19" s="192"/>
      <c r="C19" s="192"/>
      <c r="D19" s="192"/>
      <c r="E19" s="192"/>
      <c r="F19" s="192"/>
    </row>
    <row r="20" spans="1:6" s="193" customFormat="1" ht="12.75">
      <c r="A20" s="191" t="s">
        <v>913</v>
      </c>
      <c r="B20" s="192"/>
      <c r="C20" s="192"/>
      <c r="D20" s="192"/>
      <c r="E20" s="192"/>
      <c r="F20" s="192"/>
    </row>
    <row r="21" spans="1:6" ht="15.75">
      <c r="A21" s="189" t="s">
        <v>1017</v>
      </c>
      <c r="B21" s="190">
        <f>SUM(B22:B23)</f>
        <v>0</v>
      </c>
      <c r="C21" s="190">
        <f>SUM(C22:C23)</f>
        <v>0</v>
      </c>
      <c r="D21" s="190">
        <f>SUM(D22:D23)</f>
        <v>0</v>
      </c>
      <c r="E21" s="190">
        <f>SUM(E22:E23)</f>
        <v>0</v>
      </c>
      <c r="F21" s="190">
        <f>SUM(F22:F23)</f>
        <v>0</v>
      </c>
    </row>
    <row r="22" spans="1:6" s="193" customFormat="1" ht="12.75">
      <c r="A22" s="191" t="s">
        <v>1015</v>
      </c>
      <c r="B22" s="192"/>
      <c r="C22" s="192"/>
      <c r="D22" s="192"/>
      <c r="E22" s="192"/>
      <c r="F22" s="192"/>
    </row>
    <row r="23" spans="1:6" s="193" customFormat="1" ht="12.75">
      <c r="A23" s="191" t="s">
        <v>913</v>
      </c>
      <c r="B23" s="192"/>
      <c r="C23" s="192"/>
      <c r="D23" s="192"/>
      <c r="E23" s="192"/>
      <c r="F23" s="192"/>
    </row>
    <row r="24" spans="2:6" s="196" customFormat="1" ht="12.75">
      <c r="B24" s="197"/>
      <c r="C24" s="197"/>
      <c r="D24" s="197"/>
      <c r="E24" s="197"/>
      <c r="F24" s="197"/>
    </row>
    <row r="25" spans="1:6" s="4" customFormat="1" ht="15.75">
      <c r="A25" s="198" t="s">
        <v>911</v>
      </c>
      <c r="B25" s="199">
        <f>B21+B18+B15+B5</f>
        <v>124200000</v>
      </c>
      <c r="C25" s="199">
        <f>C21+C18+C15+C5</f>
        <v>124200000</v>
      </c>
      <c r="D25" s="199">
        <f>D21+D18+D15+D5</f>
        <v>124200000</v>
      </c>
      <c r="E25" s="199">
        <f>E21+E18+E15+E5</f>
        <v>124200000</v>
      </c>
      <c r="F25" s="199">
        <f>F21+F18+F15+F5</f>
        <v>124200000</v>
      </c>
    </row>
    <row r="26" spans="2:6" s="194" customFormat="1" ht="15.75">
      <c r="B26" s="195"/>
      <c r="C26" s="195"/>
      <c r="D26" s="195"/>
      <c r="E26" s="195"/>
      <c r="F26" s="195"/>
    </row>
    <row r="27" spans="1:6" s="4" customFormat="1" ht="15.75">
      <c r="A27" s="724" t="s">
        <v>1012</v>
      </c>
      <c r="B27" s="725" t="s">
        <v>1019</v>
      </c>
      <c r="C27" s="725"/>
      <c r="D27" s="725"/>
      <c r="E27" s="725"/>
      <c r="F27" s="725"/>
    </row>
    <row r="28" spans="1:6" s="4" customFormat="1" ht="15.75">
      <c r="A28" s="724"/>
      <c r="B28" s="188" t="s">
        <v>1498</v>
      </c>
      <c r="C28" s="188" t="s">
        <v>1499</v>
      </c>
      <c r="D28" s="188" t="s">
        <v>1500</v>
      </c>
      <c r="E28" s="188" t="s">
        <v>1501</v>
      </c>
      <c r="F28" s="188" t="s">
        <v>1534</v>
      </c>
    </row>
    <row r="29" spans="1:6" ht="15.75">
      <c r="A29" s="189" t="s">
        <v>1020</v>
      </c>
      <c r="B29" s="190">
        <f>SUM(B30:B35)</f>
        <v>85100000</v>
      </c>
      <c r="C29" s="190">
        <f>SUM(C30:C35)</f>
        <v>85100000</v>
      </c>
      <c r="D29" s="190">
        <f>SUM(D30:D35)</f>
        <v>85100000</v>
      </c>
      <c r="E29" s="190">
        <f>SUM(E30:E35)</f>
        <v>85100000</v>
      </c>
      <c r="F29" s="190">
        <f>SUM(F30:F35)</f>
        <v>85100000</v>
      </c>
    </row>
    <row r="30" spans="1:6" s="193" customFormat="1" ht="12.75">
      <c r="A30" s="191" t="s">
        <v>1021</v>
      </c>
      <c r="B30" s="192">
        <v>57194000</v>
      </c>
      <c r="C30" s="192">
        <v>57194000</v>
      </c>
      <c r="D30" s="192">
        <v>57194000</v>
      </c>
      <c r="E30" s="192">
        <v>57194000</v>
      </c>
      <c r="F30" s="192">
        <v>57194000</v>
      </c>
    </row>
    <row r="31" spans="1:6" s="193" customFormat="1" ht="12.75">
      <c r="A31" s="191" t="s">
        <v>1022</v>
      </c>
      <c r="B31" s="192">
        <v>11353000</v>
      </c>
      <c r="C31" s="192">
        <v>11353000</v>
      </c>
      <c r="D31" s="192">
        <v>11353000</v>
      </c>
      <c r="E31" s="192">
        <v>11353000</v>
      </c>
      <c r="F31" s="192">
        <v>11353000</v>
      </c>
    </row>
    <row r="32" spans="1:6" s="193" customFormat="1" ht="12.75">
      <c r="A32" s="191" t="s">
        <v>903</v>
      </c>
      <c r="B32" s="192">
        <v>16235000</v>
      </c>
      <c r="C32" s="192">
        <v>16235000</v>
      </c>
      <c r="D32" s="192">
        <v>16235000</v>
      </c>
      <c r="E32" s="192">
        <v>16235000</v>
      </c>
      <c r="F32" s="192">
        <v>16235000</v>
      </c>
    </row>
    <row r="33" spans="1:6" s="193" customFormat="1" ht="12.75">
      <c r="A33" s="191" t="s">
        <v>1023</v>
      </c>
      <c r="B33" s="192"/>
      <c r="C33" s="192"/>
      <c r="D33" s="192"/>
      <c r="E33" s="192"/>
      <c r="F33" s="192"/>
    </row>
    <row r="34" spans="1:6" s="193" customFormat="1" ht="12.75">
      <c r="A34" s="191" t="s">
        <v>1024</v>
      </c>
      <c r="B34" s="192"/>
      <c r="C34" s="192"/>
      <c r="D34" s="192"/>
      <c r="E34" s="192"/>
      <c r="F34" s="192"/>
    </row>
    <row r="35" spans="1:6" s="193" customFormat="1" ht="12.75">
      <c r="A35" s="191" t="s">
        <v>315</v>
      </c>
      <c r="B35" s="192">
        <v>318000</v>
      </c>
      <c r="C35" s="192">
        <v>318000</v>
      </c>
      <c r="D35" s="192">
        <v>318000</v>
      </c>
      <c r="E35" s="192">
        <v>318000</v>
      </c>
      <c r="F35" s="192">
        <v>318000</v>
      </c>
    </row>
    <row r="37" spans="1:6" ht="15.75">
      <c r="A37" s="189" t="s">
        <v>1509</v>
      </c>
      <c r="B37" s="190">
        <f>SUM(B38:B43)</f>
        <v>39100000</v>
      </c>
      <c r="C37" s="190">
        <f>SUM(C38:C43)</f>
        <v>39100000</v>
      </c>
      <c r="D37" s="190">
        <f>SUM(D38:D43)</f>
        <v>39100000</v>
      </c>
      <c r="E37" s="190">
        <f>SUM(E38:E43)</f>
        <v>39100000</v>
      </c>
      <c r="F37" s="190">
        <f>SUM(F38:F43)</f>
        <v>39100000</v>
      </c>
    </row>
    <row r="38" spans="1:6" s="193" customFormat="1" ht="12.75">
      <c r="A38" s="191" t="s">
        <v>1021</v>
      </c>
      <c r="B38" s="192">
        <v>17490000</v>
      </c>
      <c r="C38" s="192">
        <v>17490000</v>
      </c>
      <c r="D38" s="192">
        <v>17490000</v>
      </c>
      <c r="E38" s="192">
        <v>17490000</v>
      </c>
      <c r="F38" s="192">
        <v>17490000</v>
      </c>
    </row>
    <row r="39" spans="1:6" s="193" customFormat="1" ht="12.75">
      <c r="A39" s="191" t="s">
        <v>1022</v>
      </c>
      <c r="B39" s="192">
        <v>3815000</v>
      </c>
      <c r="C39" s="192">
        <v>3815000</v>
      </c>
      <c r="D39" s="192">
        <v>3815000</v>
      </c>
      <c r="E39" s="192">
        <v>3815000</v>
      </c>
      <c r="F39" s="192">
        <v>3815000</v>
      </c>
    </row>
    <row r="40" spans="1:6" s="193" customFormat="1" ht="12.75">
      <c r="A40" s="191" t="s">
        <v>903</v>
      </c>
      <c r="B40" s="192">
        <v>17795000</v>
      </c>
      <c r="C40" s="192">
        <v>17795000</v>
      </c>
      <c r="D40" s="192">
        <v>17795000</v>
      </c>
      <c r="E40" s="192">
        <v>17795000</v>
      </c>
      <c r="F40" s="192">
        <v>17795000</v>
      </c>
    </row>
    <row r="41" spans="1:6" s="193" customFormat="1" ht="12.75">
      <c r="A41" s="191" t="s">
        <v>1023</v>
      </c>
      <c r="B41" s="192"/>
      <c r="C41" s="192"/>
      <c r="D41" s="192"/>
      <c r="E41" s="192"/>
      <c r="F41" s="192"/>
    </row>
    <row r="42" spans="1:6" s="193" customFormat="1" ht="12.75">
      <c r="A42" s="191" t="s">
        <v>1024</v>
      </c>
      <c r="B42" s="192"/>
      <c r="C42" s="192"/>
      <c r="D42" s="192"/>
      <c r="E42" s="192"/>
      <c r="F42" s="192"/>
    </row>
    <row r="43" spans="1:6" s="193" customFormat="1" ht="12.75">
      <c r="A43" s="191" t="s">
        <v>315</v>
      </c>
      <c r="B43" s="192">
        <v>0</v>
      </c>
      <c r="C43" s="192"/>
      <c r="D43" s="192"/>
      <c r="E43" s="192"/>
      <c r="F43" s="192"/>
    </row>
    <row r="45" spans="1:6" s="4" customFormat="1" ht="15.75">
      <c r="A45" s="198" t="s">
        <v>899</v>
      </c>
      <c r="B45" s="199">
        <f>B37+B29</f>
        <v>124200000</v>
      </c>
      <c r="C45" s="199">
        <f>C37+C29</f>
        <v>124200000</v>
      </c>
      <c r="D45" s="199">
        <f>D37+D29</f>
        <v>124200000</v>
      </c>
      <c r="E45" s="199">
        <f>E37+E29</f>
        <v>124200000</v>
      </c>
      <c r="F45" s="199">
        <f>F37+F29</f>
        <v>124200000</v>
      </c>
    </row>
    <row r="48" spans="1:2" ht="15.75">
      <c r="A48" s="676" t="s">
        <v>1543</v>
      </c>
      <c r="B48" s="2"/>
    </row>
    <row r="49" spans="1:2" ht="15.75">
      <c r="A49" s="1"/>
      <c r="B49" s="2"/>
    </row>
    <row r="50" spans="1:2" ht="15.75">
      <c r="A50" s="1"/>
      <c r="B50" s="2"/>
    </row>
    <row r="51" spans="1:2" ht="15.75">
      <c r="A51" s="1"/>
      <c r="B51" s="2"/>
    </row>
    <row r="52" spans="1:5" ht="15.75">
      <c r="A52" s="681" t="s">
        <v>1026</v>
      </c>
      <c r="B52" s="2"/>
      <c r="E52" s="2" t="s">
        <v>33</v>
      </c>
    </row>
  </sheetData>
  <sheetProtection/>
  <mergeCells count="4">
    <mergeCell ref="A3:A4"/>
    <mergeCell ref="B3:F3"/>
    <mergeCell ref="A27:A28"/>
    <mergeCell ref="B27:F2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2" r:id="rId1"/>
</worksheet>
</file>

<file path=xl/worksheets/sheet9.xml><?xml version="1.0" encoding="utf-8"?>
<worksheet xmlns="http://schemas.openxmlformats.org/spreadsheetml/2006/main" xmlns:r="http://schemas.openxmlformats.org/officeDocument/2006/relationships">
  <dimension ref="A1:S133"/>
  <sheetViews>
    <sheetView zoomScalePageLayoutView="0" workbookViewId="0" topLeftCell="A88">
      <selection activeCell="F70" sqref="F70"/>
    </sheetView>
  </sheetViews>
  <sheetFormatPr defaultColWidth="9.140625" defaultRowHeight="15"/>
  <cols>
    <col min="1" max="1" width="26.28125" style="1" customWidth="1"/>
    <col min="2" max="2" width="12.57421875" style="2" customWidth="1"/>
    <col min="3" max="6" width="11.140625" style="2" customWidth="1"/>
    <col min="7" max="7" width="13.7109375" style="2" customWidth="1"/>
    <col min="8" max="17" width="10.421875" style="2" customWidth="1"/>
    <col min="18" max="18" width="10.421875" style="1" customWidth="1"/>
    <col min="19" max="16384" width="9.140625" style="1" customWidth="1"/>
  </cols>
  <sheetData>
    <row r="1" ht="15.75">
      <c r="A1" s="4" t="s">
        <v>1010</v>
      </c>
    </row>
    <row r="2" ht="7.5" customHeight="1"/>
    <row r="3" spans="1:15" ht="15">
      <c r="A3" s="3" t="s">
        <v>1027</v>
      </c>
      <c r="O3" s="187" t="s">
        <v>1028</v>
      </c>
    </row>
    <row r="4" spans="1:15" ht="15">
      <c r="A4" s="3"/>
      <c r="O4" s="187"/>
    </row>
    <row r="5" spans="5:17" ht="15">
      <c r="E5" s="187" t="s">
        <v>372</v>
      </c>
      <c r="K5" s="187"/>
      <c r="O5" s="187"/>
      <c r="Q5" s="187"/>
    </row>
    <row r="6" spans="1:18" ht="15">
      <c r="A6" s="200"/>
      <c r="B6" s="726" t="s">
        <v>1029</v>
      </c>
      <c r="C6" s="726"/>
      <c r="D6" s="726"/>
      <c r="E6" s="726"/>
      <c r="G6" s="727"/>
      <c r="H6" s="728"/>
      <c r="I6" s="728"/>
      <c r="J6" s="728"/>
      <c r="K6" s="728"/>
      <c r="L6" s="729" t="s">
        <v>1030</v>
      </c>
      <c r="M6" s="729"/>
      <c r="N6" s="729"/>
      <c r="O6" s="729"/>
      <c r="P6" s="201"/>
      <c r="Q6" s="201"/>
      <c r="R6" s="202"/>
    </row>
    <row r="7" spans="1:18" ht="30.75" customHeight="1">
      <c r="A7" s="203" t="s">
        <v>1031</v>
      </c>
      <c r="B7" s="204" t="s">
        <v>904</v>
      </c>
      <c r="C7" s="204" t="s">
        <v>358</v>
      </c>
      <c r="D7" s="204" t="s">
        <v>356</v>
      </c>
      <c r="E7" s="204" t="s">
        <v>340</v>
      </c>
      <c r="G7" s="204" t="s">
        <v>1032</v>
      </c>
      <c r="H7" s="204" t="s">
        <v>1033</v>
      </c>
      <c r="I7" s="204" t="s">
        <v>1034</v>
      </c>
      <c r="J7" s="204" t="s">
        <v>1035</v>
      </c>
      <c r="K7" s="204" t="s">
        <v>1036</v>
      </c>
      <c r="L7" s="204" t="s">
        <v>1037</v>
      </c>
      <c r="M7" s="204" t="s">
        <v>1038</v>
      </c>
      <c r="N7" s="204" t="s">
        <v>1039</v>
      </c>
      <c r="O7" s="204" t="s">
        <v>1040</v>
      </c>
      <c r="P7" s="204" t="s">
        <v>1041</v>
      </c>
      <c r="Q7" s="204" t="s">
        <v>1042</v>
      </c>
      <c r="R7" s="204" t="s">
        <v>1043</v>
      </c>
    </row>
    <row r="8" spans="1:17" s="206" customFormat="1" ht="15">
      <c r="A8" s="205" t="s">
        <v>1044</v>
      </c>
      <c r="B8" s="128"/>
      <c r="C8" s="128"/>
      <c r="D8" s="128"/>
      <c r="E8" s="128"/>
      <c r="F8" s="128"/>
      <c r="G8" s="128"/>
      <c r="H8" s="128"/>
      <c r="I8" s="128"/>
      <c r="J8" s="128"/>
      <c r="K8" s="128"/>
      <c r="L8" s="128"/>
      <c r="M8" s="128"/>
      <c r="N8" s="128"/>
      <c r="O8" s="128"/>
      <c r="P8" s="128"/>
      <c r="Q8" s="128"/>
    </row>
    <row r="9" spans="1:18" ht="15">
      <c r="A9" s="127" t="s">
        <v>1045</v>
      </c>
      <c r="B9" s="8">
        <f>41262450-9825200</f>
        <v>31437250</v>
      </c>
      <c r="C9" s="8">
        <v>9825200</v>
      </c>
      <c r="D9" s="8">
        <v>0</v>
      </c>
      <c r="E9" s="207">
        <f aca="true" t="shared" si="0" ref="E9:E14">SUM(B9:D9)</f>
        <v>41262450</v>
      </c>
      <c r="G9" s="8">
        <v>10315612</v>
      </c>
      <c r="H9" s="659"/>
      <c r="I9" s="659"/>
      <c r="J9" s="8">
        <v>10315612</v>
      </c>
      <c r="K9" s="8">
        <v>0</v>
      </c>
      <c r="L9" s="8">
        <v>0</v>
      </c>
      <c r="M9" s="8">
        <v>10315613</v>
      </c>
      <c r="N9" s="8">
        <v>0</v>
      </c>
      <c r="O9" s="8">
        <v>0</v>
      </c>
      <c r="P9" s="8">
        <v>10315613</v>
      </c>
      <c r="Q9" s="8">
        <v>0</v>
      </c>
      <c r="R9" s="8">
        <v>0</v>
      </c>
    </row>
    <row r="10" spans="1:18" ht="15">
      <c r="A10" s="127" t="s">
        <v>1046</v>
      </c>
      <c r="B10" s="8"/>
      <c r="C10" s="8"/>
      <c r="D10" s="8"/>
      <c r="E10" s="207">
        <f t="shared" si="0"/>
        <v>0</v>
      </c>
      <c r="G10" s="659"/>
      <c r="H10" s="659"/>
      <c r="I10" s="659"/>
      <c r="J10" s="8"/>
      <c r="K10" s="8"/>
      <c r="L10" s="8"/>
      <c r="M10" s="8"/>
      <c r="N10" s="8"/>
      <c r="O10" s="8"/>
      <c r="P10" s="8"/>
      <c r="Q10" s="8"/>
      <c r="R10" s="8"/>
    </row>
    <row r="11" spans="1:18" ht="15">
      <c r="A11" s="127" t="s">
        <v>1047</v>
      </c>
      <c r="B11" s="8"/>
      <c r="C11" s="8"/>
      <c r="D11" s="8"/>
      <c r="E11" s="207">
        <f t="shared" si="0"/>
        <v>0</v>
      </c>
      <c r="G11" s="659"/>
      <c r="H11" s="659"/>
      <c r="I11" s="659"/>
      <c r="J11" s="8"/>
      <c r="K11" s="8"/>
      <c r="L11" s="8"/>
      <c r="M11" s="8"/>
      <c r="N11" s="8"/>
      <c r="O11" s="8"/>
      <c r="P11" s="8"/>
      <c r="Q11" s="8"/>
      <c r="R11" s="8"/>
    </row>
    <row r="12" spans="1:18" ht="15">
      <c r="A12" s="127" t="s">
        <v>1048</v>
      </c>
      <c r="B12" s="8"/>
      <c r="C12" s="8"/>
      <c r="D12" s="8">
        <v>43837550</v>
      </c>
      <c r="E12" s="207">
        <f>SUM(B12:D12)</f>
        <v>43837550</v>
      </c>
      <c r="G12" s="8">
        <v>10959388</v>
      </c>
      <c r="H12" s="8"/>
      <c r="I12" s="8"/>
      <c r="J12" s="8">
        <v>10959388</v>
      </c>
      <c r="K12" s="8">
        <v>0</v>
      </c>
      <c r="L12" s="8">
        <v>0</v>
      </c>
      <c r="M12" s="8">
        <v>10959387</v>
      </c>
      <c r="N12" s="8">
        <v>0</v>
      </c>
      <c r="O12" s="8">
        <v>0</v>
      </c>
      <c r="P12" s="8">
        <v>10959387</v>
      </c>
      <c r="Q12" s="8"/>
      <c r="R12" s="8"/>
    </row>
    <row r="13" spans="1:18" ht="15">
      <c r="A13" s="127" t="s">
        <v>913</v>
      </c>
      <c r="B13" s="8"/>
      <c r="C13" s="8"/>
      <c r="D13" s="8"/>
      <c r="E13" s="207">
        <f>SUM(B13:D13)</f>
        <v>0</v>
      </c>
      <c r="G13" s="8"/>
      <c r="H13" s="8"/>
      <c r="I13" s="8"/>
      <c r="J13" s="8"/>
      <c r="K13" s="8"/>
      <c r="L13" s="8"/>
      <c r="M13" s="8"/>
      <c r="N13" s="8"/>
      <c r="O13" s="8"/>
      <c r="P13" s="8"/>
      <c r="Q13" s="8"/>
      <c r="R13" s="8"/>
    </row>
    <row r="14" spans="1:18" ht="15">
      <c r="A14" s="127" t="s">
        <v>1017</v>
      </c>
      <c r="B14" s="8"/>
      <c r="C14" s="8"/>
      <c r="D14" s="8"/>
      <c r="E14" s="207">
        <f t="shared" si="0"/>
        <v>0</v>
      </c>
      <c r="G14" s="8"/>
      <c r="H14" s="8"/>
      <c r="I14" s="8"/>
      <c r="J14" s="8"/>
      <c r="K14" s="8"/>
      <c r="L14" s="8"/>
      <c r="M14" s="8"/>
      <c r="N14" s="8"/>
      <c r="O14" s="8"/>
      <c r="P14" s="8"/>
      <c r="Q14" s="8"/>
      <c r="R14" s="8"/>
    </row>
    <row r="15" spans="1:18" s="3" customFormat="1" ht="15">
      <c r="A15" s="208" t="s">
        <v>1049</v>
      </c>
      <c r="B15" s="209">
        <f>SUM(B8:B14)</f>
        <v>31437250</v>
      </c>
      <c r="C15" s="209">
        <f>SUM(C8:C14)</f>
        <v>9825200</v>
      </c>
      <c r="D15" s="209">
        <f>SUM(D8:D14)</f>
        <v>43837550</v>
      </c>
      <c r="E15" s="209">
        <f>SUM(E8:E14)</f>
        <v>85100000</v>
      </c>
      <c r="F15" s="153"/>
      <c r="G15" s="209">
        <f>SUM(G8:G14)</f>
        <v>21275000</v>
      </c>
      <c r="H15" s="209">
        <f aca="true" t="shared" si="1" ref="H15:R15">SUM(H8:H14)</f>
        <v>0</v>
      </c>
      <c r="I15" s="209">
        <f t="shared" si="1"/>
        <v>0</v>
      </c>
      <c r="J15" s="209">
        <f t="shared" si="1"/>
        <v>21275000</v>
      </c>
      <c r="K15" s="209">
        <f t="shared" si="1"/>
        <v>0</v>
      </c>
      <c r="L15" s="209">
        <f t="shared" si="1"/>
        <v>0</v>
      </c>
      <c r="M15" s="209">
        <f t="shared" si="1"/>
        <v>21275000</v>
      </c>
      <c r="N15" s="209">
        <f t="shared" si="1"/>
        <v>0</v>
      </c>
      <c r="O15" s="209">
        <f t="shared" si="1"/>
        <v>0</v>
      </c>
      <c r="P15" s="209">
        <f t="shared" si="1"/>
        <v>21275000</v>
      </c>
      <c r="Q15" s="209">
        <f t="shared" si="1"/>
        <v>0</v>
      </c>
      <c r="R15" s="209">
        <f t="shared" si="1"/>
        <v>0</v>
      </c>
    </row>
    <row r="16" ht="15.75" customHeight="1">
      <c r="R16" s="2"/>
    </row>
    <row r="17" spans="1:18" ht="15">
      <c r="A17" s="3" t="s">
        <v>1050</v>
      </c>
      <c r="R17" s="2"/>
    </row>
    <row r="18" spans="1:18" ht="15">
      <c r="A18" s="127" t="s">
        <v>900</v>
      </c>
      <c r="B18" s="8">
        <v>19180000</v>
      </c>
      <c r="C18" s="8">
        <v>6069600</v>
      </c>
      <c r="D18" s="8">
        <v>31944630</v>
      </c>
      <c r="E18" s="207">
        <f>SUM(B18:D18)</f>
        <v>57194230</v>
      </c>
      <c r="G18" s="8">
        <f>E18/12</f>
        <v>4766185.833333333</v>
      </c>
      <c r="H18" s="8">
        <f>G18</f>
        <v>4766185.833333333</v>
      </c>
      <c r="I18" s="8">
        <f aca="true" t="shared" si="2" ref="I18:R19">H18</f>
        <v>4766185.833333333</v>
      </c>
      <c r="J18" s="8">
        <f t="shared" si="2"/>
        <v>4766185.833333333</v>
      </c>
      <c r="K18" s="8">
        <f t="shared" si="2"/>
        <v>4766185.833333333</v>
      </c>
      <c r="L18" s="8">
        <f t="shared" si="2"/>
        <v>4766185.833333333</v>
      </c>
      <c r="M18" s="8">
        <f t="shared" si="2"/>
        <v>4766185.833333333</v>
      </c>
      <c r="N18" s="8">
        <f t="shared" si="2"/>
        <v>4766185.833333333</v>
      </c>
      <c r="O18" s="8">
        <f t="shared" si="2"/>
        <v>4766185.833333333</v>
      </c>
      <c r="P18" s="8">
        <f t="shared" si="2"/>
        <v>4766185.833333333</v>
      </c>
      <c r="Q18" s="8">
        <f t="shared" si="2"/>
        <v>4766185.833333333</v>
      </c>
      <c r="R18" s="8">
        <f t="shared" si="2"/>
        <v>4766185.833333333</v>
      </c>
    </row>
    <row r="19" spans="1:18" ht="15">
      <c r="A19" s="127" t="s">
        <v>1051</v>
      </c>
      <c r="B19" s="8">
        <v>3740100</v>
      </c>
      <c r="C19" s="8">
        <v>1183600</v>
      </c>
      <c r="D19" s="8">
        <v>6429620</v>
      </c>
      <c r="E19" s="207">
        <f>SUM(B19:D19)</f>
        <v>11353320</v>
      </c>
      <c r="G19" s="8">
        <f>E19/12</f>
        <v>946110</v>
      </c>
      <c r="H19" s="8">
        <f>G19</f>
        <v>946110</v>
      </c>
      <c r="I19" s="8">
        <f t="shared" si="2"/>
        <v>946110</v>
      </c>
      <c r="J19" s="8">
        <f t="shared" si="2"/>
        <v>946110</v>
      </c>
      <c r="K19" s="8">
        <f t="shared" si="2"/>
        <v>946110</v>
      </c>
      <c r="L19" s="8">
        <f t="shared" si="2"/>
        <v>946110</v>
      </c>
      <c r="M19" s="8">
        <f t="shared" si="2"/>
        <v>946110</v>
      </c>
      <c r="N19" s="8">
        <f t="shared" si="2"/>
        <v>946110</v>
      </c>
      <c r="O19" s="8">
        <f t="shared" si="2"/>
        <v>946110</v>
      </c>
      <c r="P19" s="8">
        <f t="shared" si="2"/>
        <v>946110</v>
      </c>
      <c r="Q19" s="8">
        <f t="shared" si="2"/>
        <v>946110</v>
      </c>
      <c r="R19" s="8">
        <f t="shared" si="2"/>
        <v>946110</v>
      </c>
    </row>
    <row r="20" spans="1:18" s="213" customFormat="1" ht="15">
      <c r="A20" s="210" t="s">
        <v>902</v>
      </c>
      <c r="B20" s="211">
        <f>SUM(B18:B19)</f>
        <v>22920100</v>
      </c>
      <c r="C20" s="211">
        <f>SUM(C18:C19)</f>
        <v>7253200</v>
      </c>
      <c r="D20" s="211">
        <f>SUM(D18:D19)</f>
        <v>38374250</v>
      </c>
      <c r="E20" s="209">
        <f>SUM(E18:E19)</f>
        <v>68547550</v>
      </c>
      <c r="F20" s="212"/>
      <c r="G20" s="211">
        <f>SUM(G18:G19)</f>
        <v>5712295.833333333</v>
      </c>
      <c r="H20" s="211">
        <f aca="true" t="shared" si="3" ref="H20:R20">SUM(H18:H19)</f>
        <v>5712295.833333333</v>
      </c>
      <c r="I20" s="211">
        <f t="shared" si="3"/>
        <v>5712295.833333333</v>
      </c>
      <c r="J20" s="211">
        <f t="shared" si="3"/>
        <v>5712295.833333333</v>
      </c>
      <c r="K20" s="211">
        <f t="shared" si="3"/>
        <v>5712295.833333333</v>
      </c>
      <c r="L20" s="211">
        <f t="shared" si="3"/>
        <v>5712295.833333333</v>
      </c>
      <c r="M20" s="211">
        <f t="shared" si="3"/>
        <v>5712295.833333333</v>
      </c>
      <c r="N20" s="211">
        <f t="shared" si="3"/>
        <v>5712295.833333333</v>
      </c>
      <c r="O20" s="211">
        <f t="shared" si="3"/>
        <v>5712295.833333333</v>
      </c>
      <c r="P20" s="211">
        <f t="shared" si="3"/>
        <v>5712295.833333333</v>
      </c>
      <c r="Q20" s="211">
        <f t="shared" si="3"/>
        <v>5712295.833333333</v>
      </c>
      <c r="R20" s="211">
        <f t="shared" si="3"/>
        <v>5712295.833333333</v>
      </c>
    </row>
    <row r="21" spans="2:18" s="3" customFormat="1" ht="8.25" customHeight="1">
      <c r="B21" s="153"/>
      <c r="C21" s="153"/>
      <c r="D21" s="153"/>
      <c r="E21" s="153"/>
      <c r="F21" s="153"/>
      <c r="G21" s="153"/>
      <c r="H21" s="153"/>
      <c r="I21" s="153"/>
      <c r="J21" s="153"/>
      <c r="K21" s="153"/>
      <c r="L21" s="153"/>
      <c r="M21" s="153"/>
      <c r="N21" s="153"/>
      <c r="O21" s="153"/>
      <c r="P21" s="153"/>
      <c r="Q21" s="153"/>
      <c r="R21" s="153"/>
    </row>
    <row r="22" spans="1:18" ht="15">
      <c r="A22" s="127" t="s">
        <v>1052</v>
      </c>
      <c r="B22" s="8">
        <v>0</v>
      </c>
      <c r="C22" s="8">
        <v>0</v>
      </c>
      <c r="D22" s="8">
        <v>464000</v>
      </c>
      <c r="E22" s="207">
        <f>SUM(B22:D22)</f>
        <v>464000</v>
      </c>
      <c r="G22" s="8">
        <f>E22/4</f>
        <v>116000</v>
      </c>
      <c r="H22" s="8"/>
      <c r="I22" s="8"/>
      <c r="J22" s="8">
        <f>G22</f>
        <v>116000</v>
      </c>
      <c r="K22" s="8">
        <v>0</v>
      </c>
      <c r="L22" s="8">
        <v>0</v>
      </c>
      <c r="M22" s="8">
        <f>J22</f>
        <v>116000</v>
      </c>
      <c r="N22" s="8">
        <v>0</v>
      </c>
      <c r="O22" s="8">
        <v>0</v>
      </c>
      <c r="P22" s="8">
        <f>M22</f>
        <v>116000</v>
      </c>
      <c r="Q22" s="8">
        <v>0</v>
      </c>
      <c r="R22" s="8">
        <v>0</v>
      </c>
    </row>
    <row r="23" spans="1:18" ht="15">
      <c r="A23" s="127" t="s">
        <v>1053</v>
      </c>
      <c r="B23" s="8">
        <f>8517150-B24</f>
        <v>7386460</v>
      </c>
      <c r="C23" s="8">
        <f>2572000-C24</f>
        <v>2480000</v>
      </c>
      <c r="D23" s="8">
        <f>5145800-D22-D24</f>
        <v>3598000</v>
      </c>
      <c r="E23" s="207">
        <f>SUM(B23:D23)</f>
        <v>13464460</v>
      </c>
      <c r="G23" s="8">
        <f>E23/12</f>
        <v>1122038.3333333333</v>
      </c>
      <c r="H23" s="8">
        <f aca="true" t="shared" si="4" ref="H23:R24">G23</f>
        <v>1122038.3333333333</v>
      </c>
      <c r="I23" s="8">
        <f t="shared" si="4"/>
        <v>1122038.3333333333</v>
      </c>
      <c r="J23" s="8">
        <f t="shared" si="4"/>
        <v>1122038.3333333333</v>
      </c>
      <c r="K23" s="8">
        <f t="shared" si="4"/>
        <v>1122038.3333333333</v>
      </c>
      <c r="L23" s="8">
        <f t="shared" si="4"/>
        <v>1122038.3333333333</v>
      </c>
      <c r="M23" s="8">
        <f t="shared" si="4"/>
        <v>1122038.3333333333</v>
      </c>
      <c r="N23" s="8">
        <f t="shared" si="4"/>
        <v>1122038.3333333333</v>
      </c>
      <c r="O23" s="8">
        <f t="shared" si="4"/>
        <v>1122038.3333333333</v>
      </c>
      <c r="P23" s="8">
        <f t="shared" si="4"/>
        <v>1122038.3333333333</v>
      </c>
      <c r="Q23" s="8">
        <f t="shared" si="4"/>
        <v>1122038.3333333333</v>
      </c>
      <c r="R23" s="8">
        <f t="shared" si="4"/>
        <v>1122038.3333333333</v>
      </c>
    </row>
    <row r="24" spans="1:18" ht="15">
      <c r="A24" s="127" t="s">
        <v>500</v>
      </c>
      <c r="B24" s="8">
        <v>1130690</v>
      </c>
      <c r="C24" s="8">
        <v>92000</v>
      </c>
      <c r="D24" s="8">
        <v>1083800</v>
      </c>
      <c r="E24" s="207">
        <f>SUM(B24:D24)</f>
        <v>2306490</v>
      </c>
      <c r="G24" s="8">
        <f>E24/12</f>
        <v>192207.5</v>
      </c>
      <c r="H24" s="8">
        <f t="shared" si="4"/>
        <v>192207.5</v>
      </c>
      <c r="I24" s="8">
        <f t="shared" si="4"/>
        <v>192207.5</v>
      </c>
      <c r="J24" s="8">
        <f t="shared" si="4"/>
        <v>192207.5</v>
      </c>
      <c r="K24" s="8">
        <f t="shared" si="4"/>
        <v>192207.5</v>
      </c>
      <c r="L24" s="8">
        <f t="shared" si="4"/>
        <v>192207.5</v>
      </c>
      <c r="M24" s="8">
        <f t="shared" si="4"/>
        <v>192207.5</v>
      </c>
      <c r="N24" s="8">
        <f t="shared" si="4"/>
        <v>192207.5</v>
      </c>
      <c r="O24" s="8">
        <f t="shared" si="4"/>
        <v>192207.5</v>
      </c>
      <c r="P24" s="8">
        <f t="shared" si="4"/>
        <v>192207.5</v>
      </c>
      <c r="Q24" s="8">
        <f t="shared" si="4"/>
        <v>192207.5</v>
      </c>
      <c r="R24" s="8">
        <f t="shared" si="4"/>
        <v>192207.5</v>
      </c>
    </row>
    <row r="25" spans="1:18" s="218" customFormat="1" ht="15">
      <c r="A25" s="214" t="s">
        <v>1054</v>
      </c>
      <c r="B25" s="215">
        <f>SUM(B22:B24)</f>
        <v>8517150</v>
      </c>
      <c r="C25" s="215">
        <f>SUM(C22:C24)</f>
        <v>2572000</v>
      </c>
      <c r="D25" s="215">
        <f>SUM(D22:D24)</f>
        <v>5145800</v>
      </c>
      <c r="E25" s="216">
        <f>SUM(E22:E24)</f>
        <v>16234950</v>
      </c>
      <c r="F25" s="217"/>
      <c r="G25" s="215">
        <f>SUM(G22:G24)</f>
        <v>1430245.8333333333</v>
      </c>
      <c r="H25" s="215">
        <f aca="true" t="shared" si="5" ref="H25:R25">SUM(H22:H24)</f>
        <v>1314245.8333333333</v>
      </c>
      <c r="I25" s="215">
        <f t="shared" si="5"/>
        <v>1314245.8333333333</v>
      </c>
      <c r="J25" s="215">
        <f t="shared" si="5"/>
        <v>1430245.8333333333</v>
      </c>
      <c r="K25" s="215">
        <f t="shared" si="5"/>
        <v>1314245.8333333333</v>
      </c>
      <c r="L25" s="215">
        <f t="shared" si="5"/>
        <v>1314245.8333333333</v>
      </c>
      <c r="M25" s="215">
        <f t="shared" si="5"/>
        <v>1430245.8333333333</v>
      </c>
      <c r="N25" s="215">
        <f t="shared" si="5"/>
        <v>1314245.8333333333</v>
      </c>
      <c r="O25" s="215">
        <f t="shared" si="5"/>
        <v>1314245.8333333333</v>
      </c>
      <c r="P25" s="215">
        <f t="shared" si="5"/>
        <v>1430245.8333333333</v>
      </c>
      <c r="Q25" s="215">
        <f t="shared" si="5"/>
        <v>1314245.8333333333</v>
      </c>
      <c r="R25" s="215">
        <f t="shared" si="5"/>
        <v>1314245.8333333333</v>
      </c>
    </row>
    <row r="26" ht="18" customHeight="1">
      <c r="R26" s="2"/>
    </row>
    <row r="27" spans="1:18" ht="15" customHeight="1">
      <c r="A27" s="219" t="s">
        <v>1055</v>
      </c>
      <c r="B27" s="8">
        <v>0</v>
      </c>
      <c r="C27" s="8">
        <v>0</v>
      </c>
      <c r="D27" s="8">
        <v>0</v>
      </c>
      <c r="E27" s="207">
        <f>SUM(B27:D27)</f>
        <v>0</v>
      </c>
      <c r="G27" s="8">
        <v>0</v>
      </c>
      <c r="H27" s="8">
        <v>0</v>
      </c>
      <c r="I27" s="8">
        <v>0</v>
      </c>
      <c r="J27" s="8">
        <v>0</v>
      </c>
      <c r="K27" s="8">
        <v>0</v>
      </c>
      <c r="L27" s="8">
        <v>0</v>
      </c>
      <c r="M27" s="8">
        <v>0</v>
      </c>
      <c r="N27" s="8">
        <v>0</v>
      </c>
      <c r="O27" s="8">
        <v>0</v>
      </c>
      <c r="P27" s="8">
        <v>0</v>
      </c>
      <c r="Q27" s="8">
        <v>0</v>
      </c>
      <c r="R27" s="8">
        <v>0</v>
      </c>
    </row>
    <row r="28" ht="7.5" customHeight="1">
      <c r="R28" s="2"/>
    </row>
    <row r="29" spans="1:18" ht="15">
      <c r="A29" s="127" t="s">
        <v>901</v>
      </c>
      <c r="B29" s="8">
        <v>0</v>
      </c>
      <c r="C29" s="8">
        <v>0</v>
      </c>
      <c r="D29" s="8">
        <v>0</v>
      </c>
      <c r="E29" s="207">
        <f>SUM(B29:D29)</f>
        <v>0</v>
      </c>
      <c r="G29" s="8">
        <v>0</v>
      </c>
      <c r="H29" s="8">
        <v>0</v>
      </c>
      <c r="I29" s="8">
        <v>0</v>
      </c>
      <c r="J29" s="8">
        <v>0</v>
      </c>
      <c r="K29" s="8">
        <v>0</v>
      </c>
      <c r="L29" s="8">
        <v>0</v>
      </c>
      <c r="M29" s="8">
        <v>0</v>
      </c>
      <c r="N29" s="8">
        <v>0</v>
      </c>
      <c r="O29" s="8">
        <v>0</v>
      </c>
      <c r="P29" s="8">
        <v>0</v>
      </c>
      <c r="Q29" s="8">
        <v>0</v>
      </c>
      <c r="R29" s="8">
        <v>0</v>
      </c>
    </row>
    <row r="30" spans="1:18" ht="15">
      <c r="A30" s="127" t="s">
        <v>299</v>
      </c>
      <c r="B30" s="8">
        <v>0</v>
      </c>
      <c r="C30" s="8">
        <v>0</v>
      </c>
      <c r="D30" s="8">
        <v>0</v>
      </c>
      <c r="E30" s="207">
        <f>SUM(B30:D30)</f>
        <v>0</v>
      </c>
      <c r="G30" s="8">
        <v>0</v>
      </c>
      <c r="H30" s="8">
        <v>0</v>
      </c>
      <c r="I30" s="8">
        <v>0</v>
      </c>
      <c r="J30" s="8">
        <v>0</v>
      </c>
      <c r="K30" s="8">
        <v>0</v>
      </c>
      <c r="L30" s="8">
        <v>0</v>
      </c>
      <c r="M30" s="8">
        <v>0</v>
      </c>
      <c r="N30" s="8">
        <v>0</v>
      </c>
      <c r="O30" s="8">
        <v>0</v>
      </c>
      <c r="P30" s="8">
        <v>0</v>
      </c>
      <c r="Q30" s="8">
        <v>0</v>
      </c>
      <c r="R30" s="8">
        <v>0</v>
      </c>
    </row>
    <row r="31" spans="1:18" s="218" customFormat="1" ht="15">
      <c r="A31" s="214" t="s">
        <v>1056</v>
      </c>
      <c r="B31" s="215">
        <f>SUM(B29:B30)</f>
        <v>0</v>
      </c>
      <c r="C31" s="215">
        <f>SUM(C29:C30)</f>
        <v>0</v>
      </c>
      <c r="D31" s="215">
        <f>SUM(D29:D30)</f>
        <v>0</v>
      </c>
      <c r="E31" s="216">
        <f>SUM(E29:E30)</f>
        <v>0</v>
      </c>
      <c r="F31" s="217"/>
      <c r="G31" s="215">
        <f>SUM(G29:G30)</f>
        <v>0</v>
      </c>
      <c r="H31" s="215">
        <f aca="true" t="shared" si="6" ref="H31:R31">SUM(H29:H30)</f>
        <v>0</v>
      </c>
      <c r="I31" s="215">
        <f t="shared" si="6"/>
        <v>0</v>
      </c>
      <c r="J31" s="215">
        <f t="shared" si="6"/>
        <v>0</v>
      </c>
      <c r="K31" s="215">
        <f t="shared" si="6"/>
        <v>0</v>
      </c>
      <c r="L31" s="215">
        <f t="shared" si="6"/>
        <v>0</v>
      </c>
      <c r="M31" s="215">
        <f t="shared" si="6"/>
        <v>0</v>
      </c>
      <c r="N31" s="215">
        <f t="shared" si="6"/>
        <v>0</v>
      </c>
      <c r="O31" s="215">
        <f t="shared" si="6"/>
        <v>0</v>
      </c>
      <c r="P31" s="215">
        <f t="shared" si="6"/>
        <v>0</v>
      </c>
      <c r="Q31" s="215">
        <f t="shared" si="6"/>
        <v>0</v>
      </c>
      <c r="R31" s="215">
        <f t="shared" si="6"/>
        <v>0</v>
      </c>
    </row>
    <row r="32" spans="1:18" s="3" customFormat="1" ht="15.75" customHeight="1">
      <c r="A32" s="154" t="s">
        <v>1057</v>
      </c>
      <c r="B32" s="155">
        <f>B31+B25+B20</f>
        <v>31437250</v>
      </c>
      <c r="C32" s="155">
        <f>C31+C25+C20</f>
        <v>9825200</v>
      </c>
      <c r="D32" s="155">
        <f>D31+D25+D20</f>
        <v>43520050</v>
      </c>
      <c r="E32" s="155">
        <f>E31+E25+E20</f>
        <v>84782500</v>
      </c>
      <c r="F32" s="153"/>
      <c r="G32" s="155">
        <f>G31+G25+G20</f>
        <v>7142541.666666666</v>
      </c>
      <c r="H32" s="155">
        <f aca="true" t="shared" si="7" ref="H32:R32">H31+H25+H20</f>
        <v>7026541.666666666</v>
      </c>
      <c r="I32" s="155">
        <f t="shared" si="7"/>
        <v>7026541.666666666</v>
      </c>
      <c r="J32" s="155">
        <f t="shared" si="7"/>
        <v>7142541.666666666</v>
      </c>
      <c r="K32" s="155">
        <f t="shared" si="7"/>
        <v>7026541.666666666</v>
      </c>
      <c r="L32" s="155">
        <f t="shared" si="7"/>
        <v>7026541.666666666</v>
      </c>
      <c r="M32" s="155">
        <f t="shared" si="7"/>
        <v>7142541.666666666</v>
      </c>
      <c r="N32" s="155">
        <f t="shared" si="7"/>
        <v>7026541.666666666</v>
      </c>
      <c r="O32" s="155">
        <f t="shared" si="7"/>
        <v>7026541.666666666</v>
      </c>
      <c r="P32" s="155">
        <f t="shared" si="7"/>
        <v>7142541.666666666</v>
      </c>
      <c r="Q32" s="155">
        <f t="shared" si="7"/>
        <v>7026541.666666666</v>
      </c>
      <c r="R32" s="155">
        <f t="shared" si="7"/>
        <v>7026541.666666666</v>
      </c>
    </row>
    <row r="33" ht="8.25" customHeight="1">
      <c r="R33" s="2"/>
    </row>
    <row r="34" ht="8.25" customHeight="1">
      <c r="R34" s="2"/>
    </row>
    <row r="35" spans="1:18" ht="15">
      <c r="A35" s="127" t="s">
        <v>1058</v>
      </c>
      <c r="B35" s="8">
        <v>0</v>
      </c>
      <c r="C35" s="8">
        <v>0</v>
      </c>
      <c r="D35" s="8">
        <v>317500</v>
      </c>
      <c r="E35" s="207">
        <f>SUM(B35:D35)</f>
        <v>317500</v>
      </c>
      <c r="G35" s="8">
        <v>0</v>
      </c>
      <c r="H35" s="8">
        <v>0</v>
      </c>
      <c r="I35" s="8">
        <v>0</v>
      </c>
      <c r="J35" s="8">
        <v>0</v>
      </c>
      <c r="K35" s="8">
        <v>0</v>
      </c>
      <c r="L35" s="8"/>
      <c r="M35" s="8">
        <v>317500</v>
      </c>
      <c r="N35" s="8">
        <v>0</v>
      </c>
      <c r="O35" s="8">
        <v>0</v>
      </c>
      <c r="P35" s="8">
        <v>0</v>
      </c>
      <c r="Q35" s="8">
        <v>0</v>
      </c>
      <c r="R35" s="8">
        <v>0</v>
      </c>
    </row>
    <row r="36" spans="1:18" s="144" customFormat="1" ht="15">
      <c r="A36" s="220" t="s">
        <v>1059</v>
      </c>
      <c r="B36" s="142">
        <f>SUM(B35:B35)</f>
        <v>0</v>
      </c>
      <c r="C36" s="142">
        <f>SUM(C35:C35)</f>
        <v>0</v>
      </c>
      <c r="D36" s="142">
        <f>SUM(D35:D35)</f>
        <v>317500</v>
      </c>
      <c r="E36" s="216">
        <f>SUM(E35:E35)</f>
        <v>317500</v>
      </c>
      <c r="F36" s="187"/>
      <c r="G36" s="142">
        <f>SUM(G35:G35)</f>
        <v>0</v>
      </c>
      <c r="H36" s="142">
        <f aca="true" t="shared" si="8" ref="H36:R36">SUM(H35:H35)</f>
        <v>0</v>
      </c>
      <c r="I36" s="142">
        <f t="shared" si="8"/>
        <v>0</v>
      </c>
      <c r="J36" s="142">
        <f t="shared" si="8"/>
        <v>0</v>
      </c>
      <c r="K36" s="142">
        <f t="shared" si="8"/>
        <v>0</v>
      </c>
      <c r="L36" s="142">
        <f t="shared" si="8"/>
        <v>0</v>
      </c>
      <c r="M36" s="142">
        <f t="shared" si="8"/>
        <v>317500</v>
      </c>
      <c r="N36" s="142">
        <f t="shared" si="8"/>
        <v>0</v>
      </c>
      <c r="O36" s="142">
        <f t="shared" si="8"/>
        <v>0</v>
      </c>
      <c r="P36" s="142">
        <f t="shared" si="8"/>
        <v>0</v>
      </c>
      <c r="Q36" s="142">
        <f t="shared" si="8"/>
        <v>0</v>
      </c>
      <c r="R36" s="142">
        <f t="shared" si="8"/>
        <v>0</v>
      </c>
    </row>
    <row r="37" spans="1:18" ht="15">
      <c r="A37" s="127" t="s">
        <v>322</v>
      </c>
      <c r="B37" s="8">
        <v>0</v>
      </c>
      <c r="C37" s="8">
        <v>0</v>
      </c>
      <c r="D37" s="8">
        <v>0</v>
      </c>
      <c r="E37" s="207">
        <f>SUM(B37:D37)</f>
        <v>0</v>
      </c>
      <c r="G37" s="8">
        <v>0</v>
      </c>
      <c r="H37" s="8">
        <v>0</v>
      </c>
      <c r="I37" s="8">
        <v>0</v>
      </c>
      <c r="J37" s="8">
        <v>0</v>
      </c>
      <c r="K37" s="8">
        <v>0</v>
      </c>
      <c r="L37" s="8">
        <v>0</v>
      </c>
      <c r="M37" s="8">
        <v>0</v>
      </c>
      <c r="N37" s="8">
        <v>0</v>
      </c>
      <c r="O37" s="8">
        <v>0</v>
      </c>
      <c r="P37" s="8">
        <v>0</v>
      </c>
      <c r="Q37" s="8">
        <v>0</v>
      </c>
      <c r="R37" s="8">
        <v>0</v>
      </c>
    </row>
    <row r="38" spans="1:18" s="221" customFormat="1" ht="15">
      <c r="A38" s="220" t="s">
        <v>1060</v>
      </c>
      <c r="B38" s="142">
        <f>SUM(B37:B37)</f>
        <v>0</v>
      </c>
      <c r="C38" s="142">
        <f>SUM(C37:C37)</f>
        <v>0</v>
      </c>
      <c r="D38" s="142">
        <f>SUM(D37:D37)</f>
        <v>0</v>
      </c>
      <c r="E38" s="216">
        <f>SUM(E37:E37)</f>
        <v>0</v>
      </c>
      <c r="F38" s="187"/>
      <c r="G38" s="142">
        <f>SUM(G37:G37)</f>
        <v>0</v>
      </c>
      <c r="H38" s="142">
        <f aca="true" t="shared" si="9" ref="H38:R38">SUM(H37:H37)</f>
        <v>0</v>
      </c>
      <c r="I38" s="142">
        <f t="shared" si="9"/>
        <v>0</v>
      </c>
      <c r="J38" s="142">
        <f t="shared" si="9"/>
        <v>0</v>
      </c>
      <c r="K38" s="142">
        <f t="shared" si="9"/>
        <v>0</v>
      </c>
      <c r="L38" s="142">
        <f t="shared" si="9"/>
        <v>0</v>
      </c>
      <c r="M38" s="142">
        <f t="shared" si="9"/>
        <v>0</v>
      </c>
      <c r="N38" s="142">
        <f t="shared" si="9"/>
        <v>0</v>
      </c>
      <c r="O38" s="142">
        <f t="shared" si="9"/>
        <v>0</v>
      </c>
      <c r="P38" s="142">
        <f t="shared" si="9"/>
        <v>0</v>
      </c>
      <c r="Q38" s="142">
        <f t="shared" si="9"/>
        <v>0</v>
      </c>
      <c r="R38" s="142">
        <f t="shared" si="9"/>
        <v>0</v>
      </c>
    </row>
    <row r="39" spans="1:18" s="223" customFormat="1" ht="15">
      <c r="A39" s="210" t="s">
        <v>1061</v>
      </c>
      <c r="B39" s="211">
        <f>SUM(B38,B36)</f>
        <v>0</v>
      </c>
      <c r="C39" s="211">
        <f>SUM(C38,C36)</f>
        <v>0</v>
      </c>
      <c r="D39" s="211">
        <f>SUM(D38,D36)</f>
        <v>317500</v>
      </c>
      <c r="E39" s="209">
        <f>SUM(E38,E36)</f>
        <v>317500</v>
      </c>
      <c r="F39" s="222"/>
      <c r="G39" s="211">
        <f>SUM(G38,G36)</f>
        <v>0</v>
      </c>
      <c r="H39" s="211">
        <f aca="true" t="shared" si="10" ref="H39:R39">SUM(H38,H36)</f>
        <v>0</v>
      </c>
      <c r="I39" s="211">
        <f t="shared" si="10"/>
        <v>0</v>
      </c>
      <c r="J39" s="211">
        <f t="shared" si="10"/>
        <v>0</v>
      </c>
      <c r="K39" s="211">
        <f t="shared" si="10"/>
        <v>0</v>
      </c>
      <c r="L39" s="211">
        <f t="shared" si="10"/>
        <v>0</v>
      </c>
      <c r="M39" s="211">
        <f t="shared" si="10"/>
        <v>317500</v>
      </c>
      <c r="N39" s="211">
        <f t="shared" si="10"/>
        <v>0</v>
      </c>
      <c r="O39" s="211">
        <f t="shared" si="10"/>
        <v>0</v>
      </c>
      <c r="P39" s="211">
        <f t="shared" si="10"/>
        <v>0</v>
      </c>
      <c r="Q39" s="211">
        <f t="shared" si="10"/>
        <v>0</v>
      </c>
      <c r="R39" s="211">
        <f t="shared" si="10"/>
        <v>0</v>
      </c>
    </row>
    <row r="40" spans="1:18" s="3" customFormat="1" ht="15">
      <c r="A40" s="208" t="s">
        <v>1062</v>
      </c>
      <c r="B40" s="209">
        <f>B39+B31+B25+B20</f>
        <v>31437250</v>
      </c>
      <c r="C40" s="209">
        <f>C39+C31+C25+C20</f>
        <v>9825200</v>
      </c>
      <c r="D40" s="209">
        <f>D39+D31+D25+D20</f>
        <v>43837550</v>
      </c>
      <c r="E40" s="209">
        <f>E39+E31+E25+E20</f>
        <v>85100000</v>
      </c>
      <c r="F40" s="153"/>
      <c r="G40" s="209">
        <f>G39+G31+G25+G20</f>
        <v>7142541.666666666</v>
      </c>
      <c r="H40" s="209">
        <f aca="true" t="shared" si="11" ref="H40:R40">H39+H31+H25+H20</f>
        <v>7026541.666666666</v>
      </c>
      <c r="I40" s="209">
        <f t="shared" si="11"/>
        <v>7026541.666666666</v>
      </c>
      <c r="J40" s="209">
        <f t="shared" si="11"/>
        <v>7142541.666666666</v>
      </c>
      <c r="K40" s="209">
        <f t="shared" si="11"/>
        <v>7026541.666666666</v>
      </c>
      <c r="L40" s="209">
        <f t="shared" si="11"/>
        <v>7026541.666666666</v>
      </c>
      <c r="M40" s="209">
        <f t="shared" si="11"/>
        <v>7460041.666666666</v>
      </c>
      <c r="N40" s="209">
        <f t="shared" si="11"/>
        <v>7026541.666666666</v>
      </c>
      <c r="O40" s="209">
        <f t="shared" si="11"/>
        <v>7026541.666666666</v>
      </c>
      <c r="P40" s="209">
        <f t="shared" si="11"/>
        <v>7142541.666666666</v>
      </c>
      <c r="Q40" s="209">
        <f t="shared" si="11"/>
        <v>7026541.666666666</v>
      </c>
      <c r="R40" s="209">
        <f t="shared" si="11"/>
        <v>7026541.666666666</v>
      </c>
    </row>
    <row r="41" spans="2:4" ht="15">
      <c r="B41" s="2">
        <f>B15-B40</f>
        <v>0</v>
      </c>
      <c r="D41" s="2">
        <f>D15-D40</f>
        <v>0</v>
      </c>
    </row>
    <row r="42" ht="15">
      <c r="A42" s="1" t="s">
        <v>1025</v>
      </c>
    </row>
    <row r="46" spans="2:10" ht="15">
      <c r="B46" s="2" t="s">
        <v>1026</v>
      </c>
      <c r="J46" s="2" t="s">
        <v>33</v>
      </c>
    </row>
    <row r="49" ht="15.75">
      <c r="A49" s="4" t="s">
        <v>1010</v>
      </c>
    </row>
    <row r="51" ht="15">
      <c r="A51" s="3" t="s">
        <v>1027</v>
      </c>
    </row>
    <row r="52" ht="15">
      <c r="A52" s="3"/>
    </row>
    <row r="54" spans="1:18" ht="15">
      <c r="A54" s="200"/>
      <c r="B54" s="726" t="s">
        <v>1063</v>
      </c>
      <c r="C54" s="726"/>
      <c r="D54" s="726"/>
      <c r="E54" s="726"/>
      <c r="F54" s="726"/>
      <c r="G54" s="727"/>
      <c r="H54" s="728"/>
      <c r="I54" s="728"/>
      <c r="J54" s="728"/>
      <c r="K54" s="728"/>
      <c r="L54" s="729" t="s">
        <v>1030</v>
      </c>
      <c r="M54" s="729"/>
      <c r="N54" s="729"/>
      <c r="O54" s="729"/>
      <c r="P54" s="201"/>
      <c r="Q54" s="201"/>
      <c r="R54" s="202"/>
    </row>
    <row r="55" spans="1:19" ht="30">
      <c r="A55" s="203" t="s">
        <v>1031</v>
      </c>
      <c r="B55" s="204" t="s">
        <v>1064</v>
      </c>
      <c r="C55" s="204" t="s">
        <v>905</v>
      </c>
      <c r="D55" s="204" t="s">
        <v>1065</v>
      </c>
      <c r="E55" s="204" t="s">
        <v>355</v>
      </c>
      <c r="F55" s="204" t="s">
        <v>1336</v>
      </c>
      <c r="G55" s="204" t="s">
        <v>340</v>
      </c>
      <c r="H55" s="204" t="s">
        <v>1032</v>
      </c>
      <c r="I55" s="204" t="s">
        <v>1033</v>
      </c>
      <c r="J55" s="204" t="s">
        <v>1034</v>
      </c>
      <c r="K55" s="204" t="s">
        <v>1035</v>
      </c>
      <c r="L55" s="204" t="s">
        <v>1036</v>
      </c>
      <c r="M55" s="204" t="s">
        <v>1037</v>
      </c>
      <c r="N55" s="204" t="s">
        <v>1038</v>
      </c>
      <c r="O55" s="204" t="s">
        <v>1039</v>
      </c>
      <c r="P55" s="204" t="s">
        <v>1040</v>
      </c>
      <c r="Q55" s="204" t="s">
        <v>1041</v>
      </c>
      <c r="R55" s="204" t="s">
        <v>1042</v>
      </c>
      <c r="S55" s="204" t="s">
        <v>1043</v>
      </c>
    </row>
    <row r="56" spans="1:19" ht="15">
      <c r="A56" s="205" t="s">
        <v>1044</v>
      </c>
      <c r="B56" s="128"/>
      <c r="C56" s="128"/>
      <c r="D56" s="128"/>
      <c r="E56" s="128"/>
      <c r="F56" s="128"/>
      <c r="G56" s="128"/>
      <c r="H56" s="128"/>
      <c r="I56" s="128"/>
      <c r="J56" s="128"/>
      <c r="K56" s="128"/>
      <c r="L56" s="128"/>
      <c r="M56" s="128"/>
      <c r="N56" s="128"/>
      <c r="O56" s="128"/>
      <c r="P56" s="128"/>
      <c r="Q56" s="128"/>
      <c r="R56" s="128"/>
      <c r="S56" s="206"/>
    </row>
    <row r="57" spans="1:19" ht="15">
      <c r="A57" s="127" t="s">
        <v>1045</v>
      </c>
      <c r="B57" s="8">
        <v>9630000</v>
      </c>
      <c r="C57" s="8">
        <v>10309000</v>
      </c>
      <c r="D57" s="8">
        <v>5011000</v>
      </c>
      <c r="E57" s="8">
        <v>2550000</v>
      </c>
      <c r="F57" s="8"/>
      <c r="G57" s="207">
        <f aca="true" t="shared" si="12" ref="G57:G62">SUM(B57:F57)</f>
        <v>27500000</v>
      </c>
      <c r="H57" s="8">
        <f>E57/4</f>
        <v>637500</v>
      </c>
      <c r="I57" s="8"/>
      <c r="J57" s="8"/>
      <c r="K57" s="8">
        <f>H57</f>
        <v>637500</v>
      </c>
      <c r="L57" s="8">
        <v>0</v>
      </c>
      <c r="M57" s="8">
        <v>0</v>
      </c>
      <c r="N57" s="8">
        <f>K57</f>
        <v>637500</v>
      </c>
      <c r="O57" s="8">
        <v>0</v>
      </c>
      <c r="P57" s="8">
        <v>0</v>
      </c>
      <c r="Q57" s="8">
        <f>N57</f>
        <v>637500</v>
      </c>
      <c r="R57" s="8">
        <v>0</v>
      </c>
      <c r="S57" s="8">
        <v>0</v>
      </c>
    </row>
    <row r="58" spans="1:19" ht="15">
      <c r="A58" s="127" t="s">
        <v>1046</v>
      </c>
      <c r="B58" s="8"/>
      <c r="C58" s="8"/>
      <c r="D58" s="8"/>
      <c r="E58" s="8"/>
      <c r="F58" s="8"/>
      <c r="G58" s="207">
        <f t="shared" si="12"/>
        <v>0</v>
      </c>
      <c r="H58" s="8"/>
      <c r="I58" s="8"/>
      <c r="J58" s="8"/>
      <c r="K58" s="8"/>
      <c r="L58" s="8"/>
      <c r="M58" s="8"/>
      <c r="N58" s="8"/>
      <c r="O58" s="8"/>
      <c r="P58" s="8"/>
      <c r="Q58" s="8"/>
      <c r="R58" s="8"/>
      <c r="S58" s="8"/>
    </row>
    <row r="59" spans="1:19" ht="15">
      <c r="A59" s="127" t="s">
        <v>1047</v>
      </c>
      <c r="B59" s="8"/>
      <c r="C59" s="8"/>
      <c r="D59" s="8"/>
      <c r="E59" s="8"/>
      <c r="F59" s="8"/>
      <c r="G59" s="207">
        <f t="shared" si="12"/>
        <v>0</v>
      </c>
      <c r="H59" s="8"/>
      <c r="I59" s="8"/>
      <c r="J59" s="8"/>
      <c r="K59" s="8"/>
      <c r="L59" s="8"/>
      <c r="M59" s="8"/>
      <c r="N59" s="8"/>
      <c r="O59" s="8"/>
      <c r="P59" s="8"/>
      <c r="Q59" s="8"/>
      <c r="R59" s="8"/>
      <c r="S59" s="8"/>
    </row>
    <row r="60" spans="1:19" ht="15">
      <c r="A60" s="127" t="s">
        <v>1048</v>
      </c>
      <c r="B60" s="8"/>
      <c r="C60" s="8"/>
      <c r="D60" s="8"/>
      <c r="E60" s="8"/>
      <c r="F60" s="8"/>
      <c r="G60" s="207">
        <f t="shared" si="12"/>
        <v>0</v>
      </c>
      <c r="H60" s="8"/>
      <c r="I60" s="8"/>
      <c r="J60" s="8"/>
      <c r="K60" s="8"/>
      <c r="L60" s="8"/>
      <c r="M60" s="8"/>
      <c r="N60" s="8"/>
      <c r="O60" s="8"/>
      <c r="P60" s="8"/>
      <c r="Q60" s="8"/>
      <c r="R60" s="8"/>
      <c r="S60" s="8"/>
    </row>
    <row r="61" spans="1:19" ht="15">
      <c r="A61" s="127" t="s">
        <v>913</v>
      </c>
      <c r="B61" s="8"/>
      <c r="C61" s="8">
        <v>8000000</v>
      </c>
      <c r="D61" s="8"/>
      <c r="E61" s="8"/>
      <c r="F61" s="8"/>
      <c r="G61" s="207">
        <f t="shared" si="12"/>
        <v>8000000</v>
      </c>
      <c r="H61" s="8"/>
      <c r="I61" s="8"/>
      <c r="J61" s="8"/>
      <c r="K61" s="8"/>
      <c r="L61" s="8"/>
      <c r="M61" s="8"/>
      <c r="N61" s="8"/>
      <c r="O61" s="8"/>
      <c r="P61" s="8"/>
      <c r="Q61" s="8"/>
      <c r="R61" s="8"/>
      <c r="S61" s="8"/>
    </row>
    <row r="62" spans="1:19" ht="15">
      <c r="A62" s="127" t="s">
        <v>1017</v>
      </c>
      <c r="B62" s="8"/>
      <c r="C62" s="8"/>
      <c r="D62" s="8"/>
      <c r="E62" s="8"/>
      <c r="F62" s="8"/>
      <c r="G62" s="207">
        <f t="shared" si="12"/>
        <v>0</v>
      </c>
      <c r="H62" s="8"/>
      <c r="I62" s="8"/>
      <c r="J62" s="8"/>
      <c r="K62" s="8"/>
      <c r="L62" s="8"/>
      <c r="M62" s="8"/>
      <c r="N62" s="8"/>
      <c r="O62" s="8"/>
      <c r="P62" s="8"/>
      <c r="Q62" s="8"/>
      <c r="R62" s="8"/>
      <c r="S62" s="8"/>
    </row>
    <row r="63" spans="1:19" ht="15">
      <c r="A63" s="208" t="s">
        <v>1049</v>
      </c>
      <c r="B63" s="209">
        <f aca="true" t="shared" si="13" ref="B63:S63">SUM(B56:B62)</f>
        <v>9630000</v>
      </c>
      <c r="C63" s="209">
        <f t="shared" si="13"/>
        <v>18309000</v>
      </c>
      <c r="D63" s="209">
        <f t="shared" si="13"/>
        <v>5011000</v>
      </c>
      <c r="E63" s="209">
        <f t="shared" si="13"/>
        <v>2550000</v>
      </c>
      <c r="F63" s="209">
        <f t="shared" si="13"/>
        <v>0</v>
      </c>
      <c r="G63" s="209">
        <f t="shared" si="13"/>
        <v>35500000</v>
      </c>
      <c r="H63" s="209">
        <f t="shared" si="13"/>
        <v>637500</v>
      </c>
      <c r="I63" s="209">
        <f t="shared" si="13"/>
        <v>0</v>
      </c>
      <c r="J63" s="209">
        <f t="shared" si="13"/>
        <v>0</v>
      </c>
      <c r="K63" s="209">
        <f t="shared" si="13"/>
        <v>637500</v>
      </c>
      <c r="L63" s="209">
        <f t="shared" si="13"/>
        <v>0</v>
      </c>
      <c r="M63" s="209">
        <f t="shared" si="13"/>
        <v>0</v>
      </c>
      <c r="N63" s="209">
        <f t="shared" si="13"/>
        <v>637500</v>
      </c>
      <c r="O63" s="209">
        <f t="shared" si="13"/>
        <v>0</v>
      </c>
      <c r="P63" s="209">
        <f t="shared" si="13"/>
        <v>0</v>
      </c>
      <c r="Q63" s="209">
        <f t="shared" si="13"/>
        <v>637500</v>
      </c>
      <c r="R63" s="209">
        <f t="shared" si="13"/>
        <v>0</v>
      </c>
      <c r="S63" s="209">
        <f t="shared" si="13"/>
        <v>0</v>
      </c>
    </row>
    <row r="64" spans="7:19" ht="15">
      <c r="G64" s="2" t="e">
        <f>#REF!+G63</f>
        <v>#REF!</v>
      </c>
      <c r="R64" s="2"/>
      <c r="S64" s="2"/>
    </row>
    <row r="65" spans="1:19" ht="15">
      <c r="A65" s="3" t="s">
        <v>1050</v>
      </c>
      <c r="R65" s="2"/>
      <c r="S65" s="2"/>
    </row>
    <row r="66" spans="1:19" ht="15">
      <c r="A66" s="127" t="s">
        <v>900</v>
      </c>
      <c r="B66" s="8">
        <v>3634236</v>
      </c>
      <c r="C66" s="8">
        <v>4407180</v>
      </c>
      <c r="D66" s="8">
        <v>2935944</v>
      </c>
      <c r="E66" s="8">
        <v>1654392</v>
      </c>
      <c r="F66" s="8"/>
      <c r="G66" s="207">
        <f>SUM(B66:F66)</f>
        <v>12631752</v>
      </c>
      <c r="H66" s="8">
        <f>E66/12</f>
        <v>137866</v>
      </c>
      <c r="I66" s="8">
        <f>H66</f>
        <v>137866</v>
      </c>
      <c r="J66" s="8">
        <f aca="true" t="shared" si="14" ref="J66:S67">I66</f>
        <v>137866</v>
      </c>
      <c r="K66" s="8">
        <f t="shared" si="14"/>
        <v>137866</v>
      </c>
      <c r="L66" s="8">
        <f t="shared" si="14"/>
        <v>137866</v>
      </c>
      <c r="M66" s="8">
        <f t="shared" si="14"/>
        <v>137866</v>
      </c>
      <c r="N66" s="8">
        <f t="shared" si="14"/>
        <v>137866</v>
      </c>
      <c r="O66" s="8">
        <f t="shared" si="14"/>
        <v>137866</v>
      </c>
      <c r="P66" s="8">
        <f t="shared" si="14"/>
        <v>137866</v>
      </c>
      <c r="Q66" s="8">
        <f t="shared" si="14"/>
        <v>137866</v>
      </c>
      <c r="R66" s="8">
        <f t="shared" si="14"/>
        <v>137866</v>
      </c>
      <c r="S66" s="8">
        <f t="shared" si="14"/>
        <v>137866</v>
      </c>
    </row>
    <row r="67" spans="1:19" ht="15">
      <c r="A67" s="127" t="s">
        <v>1051</v>
      </c>
      <c r="B67" s="8">
        <v>723435</v>
      </c>
      <c r="C67" s="8">
        <v>1014561.6</v>
      </c>
      <c r="D67" s="8">
        <v>661992</v>
      </c>
      <c r="E67" s="8">
        <v>428166</v>
      </c>
      <c r="F67" s="8"/>
      <c r="G67" s="207">
        <f>SUM(B67:F67)</f>
        <v>2828154.6</v>
      </c>
      <c r="H67" s="8">
        <f>E67/12</f>
        <v>35680.5</v>
      </c>
      <c r="I67" s="8">
        <f>H67</f>
        <v>35680.5</v>
      </c>
      <c r="J67" s="8">
        <f t="shared" si="14"/>
        <v>35680.5</v>
      </c>
      <c r="K67" s="8">
        <f t="shared" si="14"/>
        <v>35680.5</v>
      </c>
      <c r="L67" s="8">
        <f t="shared" si="14"/>
        <v>35680.5</v>
      </c>
      <c r="M67" s="8">
        <f t="shared" si="14"/>
        <v>35680.5</v>
      </c>
      <c r="N67" s="8">
        <f t="shared" si="14"/>
        <v>35680.5</v>
      </c>
      <c r="O67" s="8">
        <f t="shared" si="14"/>
        <v>35680.5</v>
      </c>
      <c r="P67" s="8">
        <f t="shared" si="14"/>
        <v>35680.5</v>
      </c>
      <c r="Q67" s="8">
        <f t="shared" si="14"/>
        <v>35680.5</v>
      </c>
      <c r="R67" s="8">
        <f t="shared" si="14"/>
        <v>35680.5</v>
      </c>
      <c r="S67" s="8">
        <f t="shared" si="14"/>
        <v>35680.5</v>
      </c>
    </row>
    <row r="68" spans="1:19" ht="15">
      <c r="A68" s="210" t="s">
        <v>902</v>
      </c>
      <c r="B68" s="211">
        <f aca="true" t="shared" si="15" ref="B68:S68">SUM(B66:B67)</f>
        <v>4357671</v>
      </c>
      <c r="C68" s="211">
        <f t="shared" si="15"/>
        <v>5421741.6</v>
      </c>
      <c r="D68" s="211">
        <f t="shared" si="15"/>
        <v>3597936</v>
      </c>
      <c r="E68" s="211">
        <f t="shared" si="15"/>
        <v>2082558</v>
      </c>
      <c r="F68" s="211">
        <f t="shared" si="15"/>
        <v>0</v>
      </c>
      <c r="G68" s="209">
        <f t="shared" si="15"/>
        <v>15459906.6</v>
      </c>
      <c r="H68" s="211">
        <f t="shared" si="15"/>
        <v>173546.5</v>
      </c>
      <c r="I68" s="211">
        <f t="shared" si="15"/>
        <v>173546.5</v>
      </c>
      <c r="J68" s="211">
        <f t="shared" si="15"/>
        <v>173546.5</v>
      </c>
      <c r="K68" s="211">
        <f t="shared" si="15"/>
        <v>173546.5</v>
      </c>
      <c r="L68" s="211">
        <f t="shared" si="15"/>
        <v>173546.5</v>
      </c>
      <c r="M68" s="211">
        <f t="shared" si="15"/>
        <v>173546.5</v>
      </c>
      <c r="N68" s="211">
        <f t="shared" si="15"/>
        <v>173546.5</v>
      </c>
      <c r="O68" s="211">
        <f t="shared" si="15"/>
        <v>173546.5</v>
      </c>
      <c r="P68" s="211">
        <f t="shared" si="15"/>
        <v>173546.5</v>
      </c>
      <c r="Q68" s="211">
        <f t="shared" si="15"/>
        <v>173546.5</v>
      </c>
      <c r="R68" s="211">
        <f t="shared" si="15"/>
        <v>173546.5</v>
      </c>
      <c r="S68" s="211">
        <f t="shared" si="15"/>
        <v>173546.5</v>
      </c>
    </row>
    <row r="69" spans="1:19" ht="15">
      <c r="A69" s="3"/>
      <c r="B69" s="153"/>
      <c r="C69" s="153"/>
      <c r="D69" s="153"/>
      <c r="E69" s="153"/>
      <c r="F69" s="153"/>
      <c r="G69" s="153"/>
      <c r="H69" s="153"/>
      <c r="I69" s="153"/>
      <c r="J69" s="153"/>
      <c r="K69" s="153"/>
      <c r="L69" s="153"/>
      <c r="M69" s="153"/>
      <c r="N69" s="153"/>
      <c r="O69" s="153"/>
      <c r="P69" s="153"/>
      <c r="Q69" s="153"/>
      <c r="R69" s="153"/>
      <c r="S69" s="153"/>
    </row>
    <row r="70" spans="1:19" ht="15">
      <c r="A70" s="127" t="s">
        <v>1052</v>
      </c>
      <c r="B70" s="224">
        <v>0</v>
      </c>
      <c r="C70" s="224">
        <v>0</v>
      </c>
      <c r="D70" s="224">
        <v>99000</v>
      </c>
      <c r="E70" s="224">
        <v>0</v>
      </c>
      <c r="F70" s="224"/>
      <c r="G70" s="207">
        <f>SUM(B70:F70)</f>
        <v>99000</v>
      </c>
      <c r="H70" s="8">
        <f>E70/4</f>
        <v>0</v>
      </c>
      <c r="I70" s="8"/>
      <c r="J70" s="8"/>
      <c r="K70" s="8">
        <f>H70</f>
        <v>0</v>
      </c>
      <c r="L70" s="8">
        <v>0</v>
      </c>
      <c r="M70" s="8">
        <v>0</v>
      </c>
      <c r="N70" s="8">
        <f>K70</f>
        <v>0</v>
      </c>
      <c r="O70" s="8">
        <v>0</v>
      </c>
      <c r="P70" s="8">
        <v>0</v>
      </c>
      <c r="Q70" s="8">
        <f>N70</f>
        <v>0</v>
      </c>
      <c r="R70" s="8">
        <v>0</v>
      </c>
      <c r="S70" s="8">
        <v>0</v>
      </c>
    </row>
    <row r="71" spans="1:19" ht="15">
      <c r="A71" s="127" t="s">
        <v>1053</v>
      </c>
      <c r="B71" s="8">
        <v>4186860</v>
      </c>
      <c r="C71" s="8">
        <v>3383000</v>
      </c>
      <c r="D71" s="8">
        <v>1037300</v>
      </c>
      <c r="E71" s="8">
        <v>262000</v>
      </c>
      <c r="F71" s="8"/>
      <c r="G71" s="207">
        <f>SUM(B71:F71)</f>
        <v>8869160</v>
      </c>
      <c r="H71" s="8">
        <f>E71/12</f>
        <v>21833.333333333332</v>
      </c>
      <c r="I71" s="8">
        <f aca="true" t="shared" si="16" ref="I71:S72">H71</f>
        <v>21833.333333333332</v>
      </c>
      <c r="J71" s="8">
        <f t="shared" si="16"/>
        <v>21833.333333333332</v>
      </c>
      <c r="K71" s="8">
        <f t="shared" si="16"/>
        <v>21833.333333333332</v>
      </c>
      <c r="L71" s="8">
        <f t="shared" si="16"/>
        <v>21833.333333333332</v>
      </c>
      <c r="M71" s="8">
        <f t="shared" si="16"/>
        <v>21833.333333333332</v>
      </c>
      <c r="N71" s="8">
        <f t="shared" si="16"/>
        <v>21833.333333333332</v>
      </c>
      <c r="O71" s="8">
        <f t="shared" si="16"/>
        <v>21833.333333333332</v>
      </c>
      <c r="P71" s="8">
        <f t="shared" si="16"/>
        <v>21833.333333333332</v>
      </c>
      <c r="Q71" s="8">
        <f t="shared" si="16"/>
        <v>21833.333333333332</v>
      </c>
      <c r="R71" s="8">
        <f t="shared" si="16"/>
        <v>21833.333333333332</v>
      </c>
      <c r="S71" s="8">
        <f t="shared" si="16"/>
        <v>21833.333333333332</v>
      </c>
    </row>
    <row r="72" spans="1:19" ht="15">
      <c r="A72" s="127" t="s">
        <v>500</v>
      </c>
      <c r="B72" s="8">
        <v>1085469</v>
      </c>
      <c r="C72" s="8">
        <v>1504258</v>
      </c>
      <c r="D72" s="8">
        <v>276764</v>
      </c>
      <c r="E72" s="8">
        <v>205442</v>
      </c>
      <c r="F72" s="8"/>
      <c r="G72" s="207">
        <f>SUM(B72:F72)</f>
        <v>3071933</v>
      </c>
      <c r="H72" s="8">
        <f>E72/12</f>
        <v>17120.166666666668</v>
      </c>
      <c r="I72" s="8">
        <f t="shared" si="16"/>
        <v>17120.166666666668</v>
      </c>
      <c r="J72" s="8">
        <f t="shared" si="16"/>
        <v>17120.166666666668</v>
      </c>
      <c r="K72" s="8">
        <f t="shared" si="16"/>
        <v>17120.166666666668</v>
      </c>
      <c r="L72" s="8">
        <f t="shared" si="16"/>
        <v>17120.166666666668</v>
      </c>
      <c r="M72" s="8">
        <f t="shared" si="16"/>
        <v>17120.166666666668</v>
      </c>
      <c r="N72" s="8">
        <f t="shared" si="16"/>
        <v>17120.166666666668</v>
      </c>
      <c r="O72" s="8">
        <f t="shared" si="16"/>
        <v>17120.166666666668</v>
      </c>
      <c r="P72" s="8">
        <f t="shared" si="16"/>
        <v>17120.166666666668</v>
      </c>
      <c r="Q72" s="8">
        <f t="shared" si="16"/>
        <v>17120.166666666668</v>
      </c>
      <c r="R72" s="8">
        <f t="shared" si="16"/>
        <v>17120.166666666668</v>
      </c>
      <c r="S72" s="8">
        <f t="shared" si="16"/>
        <v>17120.166666666668</v>
      </c>
    </row>
    <row r="73" spans="1:19" ht="15">
      <c r="A73" s="214" t="s">
        <v>1054</v>
      </c>
      <c r="B73" s="215">
        <f aca="true" t="shared" si="17" ref="B73:S73">SUM(B70:B72)</f>
        <v>5272329</v>
      </c>
      <c r="C73" s="215">
        <f t="shared" si="17"/>
        <v>4887258</v>
      </c>
      <c r="D73" s="215">
        <f t="shared" si="17"/>
        <v>1413064</v>
      </c>
      <c r="E73" s="215">
        <f t="shared" si="17"/>
        <v>467442</v>
      </c>
      <c r="F73" s="215">
        <f t="shared" si="17"/>
        <v>0</v>
      </c>
      <c r="G73" s="216">
        <f t="shared" si="17"/>
        <v>12040093</v>
      </c>
      <c r="H73" s="215">
        <f t="shared" si="17"/>
        <v>38953.5</v>
      </c>
      <c r="I73" s="215">
        <f t="shared" si="17"/>
        <v>38953.5</v>
      </c>
      <c r="J73" s="215">
        <f t="shared" si="17"/>
        <v>38953.5</v>
      </c>
      <c r="K73" s="215">
        <f t="shared" si="17"/>
        <v>38953.5</v>
      </c>
      <c r="L73" s="215">
        <f t="shared" si="17"/>
        <v>38953.5</v>
      </c>
      <c r="M73" s="215">
        <f t="shared" si="17"/>
        <v>38953.5</v>
      </c>
      <c r="N73" s="215">
        <f t="shared" si="17"/>
        <v>38953.5</v>
      </c>
      <c r="O73" s="215">
        <f t="shared" si="17"/>
        <v>38953.5</v>
      </c>
      <c r="P73" s="215">
        <f t="shared" si="17"/>
        <v>38953.5</v>
      </c>
      <c r="Q73" s="215">
        <f t="shared" si="17"/>
        <v>38953.5</v>
      </c>
      <c r="R73" s="215">
        <f t="shared" si="17"/>
        <v>38953.5</v>
      </c>
      <c r="S73" s="215">
        <f t="shared" si="17"/>
        <v>38953.5</v>
      </c>
    </row>
    <row r="74" spans="18:19" ht="15">
      <c r="R74" s="2"/>
      <c r="S74" s="2"/>
    </row>
    <row r="75" spans="1:19" ht="15">
      <c r="A75" s="219" t="s">
        <v>1055</v>
      </c>
      <c r="B75" s="8">
        <v>0</v>
      </c>
      <c r="C75" s="8">
        <v>0</v>
      </c>
      <c r="D75" s="8">
        <v>0</v>
      </c>
      <c r="E75" s="8">
        <v>0</v>
      </c>
      <c r="F75" s="8">
        <v>0</v>
      </c>
      <c r="G75" s="207">
        <f>SUM(B75:F75)</f>
        <v>0</v>
      </c>
      <c r="H75" s="8">
        <v>0</v>
      </c>
      <c r="I75" s="8">
        <v>0</v>
      </c>
      <c r="J75" s="8">
        <v>0</v>
      </c>
      <c r="K75" s="8">
        <v>0</v>
      </c>
      <c r="L75" s="8">
        <v>0</v>
      </c>
      <c r="M75" s="8">
        <v>0</v>
      </c>
      <c r="N75" s="8">
        <v>0</v>
      </c>
      <c r="O75" s="8">
        <v>0</v>
      </c>
      <c r="P75" s="8">
        <v>0</v>
      </c>
      <c r="Q75" s="8">
        <v>0</v>
      </c>
      <c r="R75" s="8">
        <v>0</v>
      </c>
      <c r="S75" s="8">
        <v>0</v>
      </c>
    </row>
    <row r="76" spans="18:19" ht="15">
      <c r="R76" s="2"/>
      <c r="S76" s="2"/>
    </row>
    <row r="77" spans="1:19" ht="15">
      <c r="A77" s="127" t="s">
        <v>901</v>
      </c>
      <c r="B77" s="8">
        <v>0</v>
      </c>
      <c r="C77" s="8">
        <v>0</v>
      </c>
      <c r="D77" s="8">
        <v>0</v>
      </c>
      <c r="E77" s="8">
        <v>0</v>
      </c>
      <c r="F77" s="8">
        <v>0</v>
      </c>
      <c r="G77" s="207">
        <f>SUM(B77:F77)</f>
        <v>0</v>
      </c>
      <c r="H77" s="8">
        <v>0</v>
      </c>
      <c r="I77" s="8">
        <v>0</v>
      </c>
      <c r="J77" s="8">
        <v>0</v>
      </c>
      <c r="K77" s="8">
        <v>0</v>
      </c>
      <c r="L77" s="8">
        <v>0</v>
      </c>
      <c r="M77" s="8">
        <v>0</v>
      </c>
      <c r="N77" s="8">
        <v>0</v>
      </c>
      <c r="O77" s="8">
        <v>0</v>
      </c>
      <c r="P77" s="8">
        <v>0</v>
      </c>
      <c r="Q77" s="8">
        <v>0</v>
      </c>
      <c r="R77" s="8">
        <v>0</v>
      </c>
      <c r="S77" s="8">
        <v>0</v>
      </c>
    </row>
    <row r="78" spans="1:19" ht="15">
      <c r="A78" s="127" t="s">
        <v>299</v>
      </c>
      <c r="B78" s="8">
        <v>0</v>
      </c>
      <c r="C78" s="8">
        <v>0</v>
      </c>
      <c r="D78" s="8">
        <v>0</v>
      </c>
      <c r="E78" s="8">
        <v>0</v>
      </c>
      <c r="F78" s="8">
        <v>0</v>
      </c>
      <c r="G78" s="207">
        <f>SUM(B78:F78)</f>
        <v>0</v>
      </c>
      <c r="H78" s="8">
        <v>0</v>
      </c>
      <c r="I78" s="8">
        <v>0</v>
      </c>
      <c r="J78" s="8">
        <v>0</v>
      </c>
      <c r="K78" s="8">
        <v>0</v>
      </c>
      <c r="L78" s="8">
        <v>0</v>
      </c>
      <c r="M78" s="8">
        <v>0</v>
      </c>
      <c r="N78" s="8">
        <v>0</v>
      </c>
      <c r="O78" s="8">
        <v>0</v>
      </c>
      <c r="P78" s="8">
        <v>0</v>
      </c>
      <c r="Q78" s="8">
        <v>0</v>
      </c>
      <c r="R78" s="8">
        <v>0</v>
      </c>
      <c r="S78" s="8">
        <v>0</v>
      </c>
    </row>
    <row r="79" spans="1:19" ht="15">
      <c r="A79" s="214" t="s">
        <v>1056</v>
      </c>
      <c r="B79" s="215">
        <f aca="true" t="shared" si="18" ref="B79:S79">SUM(B77:B78)</f>
        <v>0</v>
      </c>
      <c r="C79" s="215">
        <f t="shared" si="18"/>
        <v>0</v>
      </c>
      <c r="D79" s="215">
        <f t="shared" si="18"/>
        <v>0</v>
      </c>
      <c r="E79" s="215">
        <f t="shared" si="18"/>
        <v>0</v>
      </c>
      <c r="F79" s="215">
        <f>SUM(F77:F78)</f>
        <v>0</v>
      </c>
      <c r="G79" s="216">
        <f t="shared" si="18"/>
        <v>0</v>
      </c>
      <c r="H79" s="215">
        <f t="shared" si="18"/>
        <v>0</v>
      </c>
      <c r="I79" s="215">
        <f t="shared" si="18"/>
        <v>0</v>
      </c>
      <c r="J79" s="215">
        <f t="shared" si="18"/>
        <v>0</v>
      </c>
      <c r="K79" s="215">
        <f t="shared" si="18"/>
        <v>0</v>
      </c>
      <c r="L79" s="215">
        <f t="shared" si="18"/>
        <v>0</v>
      </c>
      <c r="M79" s="215">
        <f t="shared" si="18"/>
        <v>0</v>
      </c>
      <c r="N79" s="215">
        <f t="shared" si="18"/>
        <v>0</v>
      </c>
      <c r="O79" s="215">
        <f t="shared" si="18"/>
        <v>0</v>
      </c>
      <c r="P79" s="215">
        <f t="shared" si="18"/>
        <v>0</v>
      </c>
      <c r="Q79" s="215">
        <f t="shared" si="18"/>
        <v>0</v>
      </c>
      <c r="R79" s="215">
        <f t="shared" si="18"/>
        <v>0</v>
      </c>
      <c r="S79" s="215">
        <f t="shared" si="18"/>
        <v>0</v>
      </c>
    </row>
    <row r="80" spans="1:19" ht="15">
      <c r="A80" s="154" t="s">
        <v>1057</v>
      </c>
      <c r="B80" s="155">
        <f>B79+B73+B68</f>
        <v>9630000</v>
      </c>
      <c r="C80" s="155">
        <f>C79+C73+C68</f>
        <v>10308999.6</v>
      </c>
      <c r="D80" s="155">
        <f>D79+D73+D68</f>
        <v>5011000</v>
      </c>
      <c r="E80" s="155">
        <f>E79+E73+E68</f>
        <v>2550000</v>
      </c>
      <c r="F80" s="155">
        <f>F79+F73+F68</f>
        <v>0</v>
      </c>
      <c r="G80" s="216">
        <f>SUM(G77:G79)</f>
        <v>0</v>
      </c>
      <c r="H80" s="155">
        <f aca="true" t="shared" si="19" ref="H80:S80">H79+H73+H68</f>
        <v>212500</v>
      </c>
      <c r="I80" s="155">
        <f t="shared" si="19"/>
        <v>212500</v>
      </c>
      <c r="J80" s="155">
        <f t="shared" si="19"/>
        <v>212500</v>
      </c>
      <c r="K80" s="155">
        <f t="shared" si="19"/>
        <v>212500</v>
      </c>
      <c r="L80" s="155">
        <f t="shared" si="19"/>
        <v>212500</v>
      </c>
      <c r="M80" s="155">
        <f t="shared" si="19"/>
        <v>212500</v>
      </c>
      <c r="N80" s="155">
        <f t="shared" si="19"/>
        <v>212500</v>
      </c>
      <c r="O80" s="155">
        <f t="shared" si="19"/>
        <v>212500</v>
      </c>
      <c r="P80" s="155">
        <f t="shared" si="19"/>
        <v>212500</v>
      </c>
      <c r="Q80" s="155">
        <f t="shared" si="19"/>
        <v>212500</v>
      </c>
      <c r="R80" s="155">
        <f t="shared" si="19"/>
        <v>212500</v>
      </c>
      <c r="S80" s="155">
        <f t="shared" si="19"/>
        <v>212500</v>
      </c>
    </row>
    <row r="81" spans="18:19" ht="15">
      <c r="R81" s="2"/>
      <c r="S81" s="2"/>
    </row>
    <row r="82" spans="18:19" ht="15">
      <c r="R82" s="2"/>
      <c r="S82" s="2"/>
    </row>
    <row r="83" spans="1:19" ht="15">
      <c r="A83" s="127" t="s">
        <v>1058</v>
      </c>
      <c r="B83" s="8">
        <v>0</v>
      </c>
      <c r="C83" s="8">
        <v>0</v>
      </c>
      <c r="D83" s="8">
        <v>0</v>
      </c>
      <c r="E83" s="8">
        <v>0</v>
      </c>
      <c r="F83" s="8">
        <v>0</v>
      </c>
      <c r="G83" s="207">
        <f>SUM(B83:F83)</f>
        <v>0</v>
      </c>
      <c r="H83" s="8">
        <v>0</v>
      </c>
      <c r="I83" s="8">
        <v>1</v>
      </c>
      <c r="J83" s="8">
        <v>2</v>
      </c>
      <c r="K83" s="8">
        <v>3</v>
      </c>
      <c r="L83" s="8">
        <v>4</v>
      </c>
      <c r="M83" s="8">
        <v>5</v>
      </c>
      <c r="N83" s="8">
        <v>6</v>
      </c>
      <c r="O83" s="8">
        <v>7</v>
      </c>
      <c r="P83" s="8">
        <v>8</v>
      </c>
      <c r="Q83" s="8">
        <v>9</v>
      </c>
      <c r="R83" s="8">
        <v>10</v>
      </c>
      <c r="S83" s="8">
        <v>11</v>
      </c>
    </row>
    <row r="84" spans="1:19" ht="15">
      <c r="A84" s="220" t="s">
        <v>1059</v>
      </c>
      <c r="B84" s="142">
        <f aca="true" t="shared" si="20" ref="B84:S84">SUM(B83:B83)</f>
        <v>0</v>
      </c>
      <c r="C84" s="142">
        <f t="shared" si="20"/>
        <v>0</v>
      </c>
      <c r="D84" s="142">
        <f t="shared" si="20"/>
        <v>0</v>
      </c>
      <c r="E84" s="142">
        <f t="shared" si="20"/>
        <v>0</v>
      </c>
      <c r="F84" s="142">
        <f t="shared" si="20"/>
        <v>0</v>
      </c>
      <c r="G84" s="216">
        <f t="shared" si="20"/>
        <v>0</v>
      </c>
      <c r="H84" s="142">
        <f t="shared" si="20"/>
        <v>0</v>
      </c>
      <c r="I84" s="142">
        <f t="shared" si="20"/>
        <v>1</v>
      </c>
      <c r="J84" s="142">
        <f t="shared" si="20"/>
        <v>2</v>
      </c>
      <c r="K84" s="142">
        <f t="shared" si="20"/>
        <v>3</v>
      </c>
      <c r="L84" s="142">
        <f t="shared" si="20"/>
        <v>4</v>
      </c>
      <c r="M84" s="142">
        <f t="shared" si="20"/>
        <v>5</v>
      </c>
      <c r="N84" s="142">
        <f t="shared" si="20"/>
        <v>6</v>
      </c>
      <c r="O84" s="142">
        <f t="shared" si="20"/>
        <v>7</v>
      </c>
      <c r="P84" s="142">
        <f t="shared" si="20"/>
        <v>8</v>
      </c>
      <c r="Q84" s="142">
        <f t="shared" si="20"/>
        <v>9</v>
      </c>
      <c r="R84" s="142">
        <f t="shared" si="20"/>
        <v>10</v>
      </c>
      <c r="S84" s="142">
        <f t="shared" si="20"/>
        <v>11</v>
      </c>
    </row>
    <row r="85" spans="1:19" ht="15">
      <c r="A85" s="127" t="s">
        <v>322</v>
      </c>
      <c r="B85" s="8">
        <v>0</v>
      </c>
      <c r="C85" s="8">
        <v>0</v>
      </c>
      <c r="D85" s="8">
        <v>0</v>
      </c>
      <c r="E85" s="8">
        <v>0</v>
      </c>
      <c r="F85" s="8">
        <v>0</v>
      </c>
      <c r="G85" s="207">
        <f>SUM(B85:F85)</f>
        <v>0</v>
      </c>
      <c r="H85" s="8">
        <v>0</v>
      </c>
      <c r="I85" s="8">
        <v>1</v>
      </c>
      <c r="J85" s="8">
        <v>2</v>
      </c>
      <c r="K85" s="8">
        <v>3</v>
      </c>
      <c r="L85" s="8">
        <v>4</v>
      </c>
      <c r="M85" s="8">
        <v>5</v>
      </c>
      <c r="N85" s="8">
        <v>6</v>
      </c>
      <c r="O85" s="8">
        <v>7</v>
      </c>
      <c r="P85" s="8">
        <v>8</v>
      </c>
      <c r="Q85" s="8">
        <v>9</v>
      </c>
      <c r="R85" s="8">
        <v>10</v>
      </c>
      <c r="S85" s="8">
        <v>11</v>
      </c>
    </row>
    <row r="86" spans="1:19" ht="15">
      <c r="A86" s="220" t="s">
        <v>1060</v>
      </c>
      <c r="B86" s="142">
        <f aca="true" t="shared" si="21" ref="B86:S86">SUM(B85:B85)</f>
        <v>0</v>
      </c>
      <c r="C86" s="142">
        <f t="shared" si="21"/>
        <v>0</v>
      </c>
      <c r="D86" s="142">
        <f t="shared" si="21"/>
        <v>0</v>
      </c>
      <c r="E86" s="142">
        <f t="shared" si="21"/>
        <v>0</v>
      </c>
      <c r="F86" s="142">
        <f>SUM(F85:F85)</f>
        <v>0</v>
      </c>
      <c r="G86" s="216">
        <f t="shared" si="21"/>
        <v>0</v>
      </c>
      <c r="H86" s="142">
        <f t="shared" si="21"/>
        <v>0</v>
      </c>
      <c r="I86" s="142">
        <f t="shared" si="21"/>
        <v>1</v>
      </c>
      <c r="J86" s="142">
        <f t="shared" si="21"/>
        <v>2</v>
      </c>
      <c r="K86" s="142">
        <f t="shared" si="21"/>
        <v>3</v>
      </c>
      <c r="L86" s="142">
        <f t="shared" si="21"/>
        <v>4</v>
      </c>
      <c r="M86" s="142">
        <f t="shared" si="21"/>
        <v>5</v>
      </c>
      <c r="N86" s="142">
        <f t="shared" si="21"/>
        <v>6</v>
      </c>
      <c r="O86" s="142">
        <f t="shared" si="21"/>
        <v>7</v>
      </c>
      <c r="P86" s="142">
        <f t="shared" si="21"/>
        <v>8</v>
      </c>
      <c r="Q86" s="142">
        <f t="shared" si="21"/>
        <v>9</v>
      </c>
      <c r="R86" s="142">
        <f t="shared" si="21"/>
        <v>10</v>
      </c>
      <c r="S86" s="142">
        <f t="shared" si="21"/>
        <v>11</v>
      </c>
    </row>
    <row r="87" spans="1:19" ht="15">
      <c r="A87" s="210" t="s">
        <v>1061</v>
      </c>
      <c r="B87" s="211">
        <f aca="true" t="shared" si="22" ref="B87:S87">SUM(B86,B84)</f>
        <v>0</v>
      </c>
      <c r="C87" s="211">
        <f t="shared" si="22"/>
        <v>0</v>
      </c>
      <c r="D87" s="211">
        <f t="shared" si="22"/>
        <v>0</v>
      </c>
      <c r="E87" s="211">
        <f t="shared" si="22"/>
        <v>0</v>
      </c>
      <c r="F87" s="211">
        <f>SUM(F86,F84)</f>
        <v>0</v>
      </c>
      <c r="G87" s="209">
        <f t="shared" si="22"/>
        <v>0</v>
      </c>
      <c r="H87" s="211">
        <f t="shared" si="22"/>
        <v>0</v>
      </c>
      <c r="I87" s="211">
        <f t="shared" si="22"/>
        <v>2</v>
      </c>
      <c r="J87" s="211">
        <f t="shared" si="22"/>
        <v>4</v>
      </c>
      <c r="K87" s="211">
        <f t="shared" si="22"/>
        <v>6</v>
      </c>
      <c r="L87" s="211">
        <f t="shared" si="22"/>
        <v>8</v>
      </c>
      <c r="M87" s="211">
        <f t="shared" si="22"/>
        <v>10</v>
      </c>
      <c r="N87" s="211">
        <f t="shared" si="22"/>
        <v>12</v>
      </c>
      <c r="O87" s="211">
        <f t="shared" si="22"/>
        <v>14</v>
      </c>
      <c r="P87" s="211">
        <f t="shared" si="22"/>
        <v>16</v>
      </c>
      <c r="Q87" s="211">
        <f t="shared" si="22"/>
        <v>18</v>
      </c>
      <c r="R87" s="211">
        <f t="shared" si="22"/>
        <v>20</v>
      </c>
      <c r="S87" s="211">
        <f t="shared" si="22"/>
        <v>22</v>
      </c>
    </row>
    <row r="88" spans="1:19" ht="15">
      <c r="A88" s="208" t="s">
        <v>1062</v>
      </c>
      <c r="B88" s="209">
        <f aca="true" t="shared" si="23" ref="B88:S88">B87+B79+B73+B68</f>
        <v>9630000</v>
      </c>
      <c r="C88" s="209">
        <f t="shared" si="23"/>
        <v>10308999.6</v>
      </c>
      <c r="D88" s="209">
        <f t="shared" si="23"/>
        <v>5011000</v>
      </c>
      <c r="E88" s="209">
        <f t="shared" si="23"/>
        <v>2550000</v>
      </c>
      <c r="F88" s="209">
        <f>F87+F79+F73+F68</f>
        <v>0</v>
      </c>
      <c r="G88" s="209">
        <f t="shared" si="23"/>
        <v>27499999.6</v>
      </c>
      <c r="H88" s="209">
        <f t="shared" si="23"/>
        <v>212500</v>
      </c>
      <c r="I88" s="209">
        <f t="shared" si="23"/>
        <v>212502</v>
      </c>
      <c r="J88" s="209">
        <f t="shared" si="23"/>
        <v>212504</v>
      </c>
      <c r="K88" s="209">
        <f t="shared" si="23"/>
        <v>212506</v>
      </c>
      <c r="L88" s="209">
        <f t="shared" si="23"/>
        <v>212508</v>
      </c>
      <c r="M88" s="209">
        <f t="shared" si="23"/>
        <v>212510</v>
      </c>
      <c r="N88" s="209">
        <f t="shared" si="23"/>
        <v>212512</v>
      </c>
      <c r="O88" s="209">
        <f t="shared" si="23"/>
        <v>212514</v>
      </c>
      <c r="P88" s="209">
        <f t="shared" si="23"/>
        <v>212516</v>
      </c>
      <c r="Q88" s="209">
        <f t="shared" si="23"/>
        <v>212518</v>
      </c>
      <c r="R88" s="209">
        <f t="shared" si="23"/>
        <v>212520</v>
      </c>
      <c r="S88" s="209">
        <f t="shared" si="23"/>
        <v>212522</v>
      </c>
    </row>
    <row r="94" ht="15.75">
      <c r="A94" s="4" t="s">
        <v>1010</v>
      </c>
    </row>
    <row r="96" ht="15">
      <c r="A96" s="3" t="s">
        <v>1027</v>
      </c>
    </row>
    <row r="97" ht="15">
      <c r="A97" s="3"/>
    </row>
    <row r="99" spans="1:18" ht="15">
      <c r="A99" s="200"/>
      <c r="B99" s="726" t="s">
        <v>1066</v>
      </c>
      <c r="C99" s="726"/>
      <c r="D99" s="726"/>
      <c r="E99" s="726"/>
      <c r="G99" s="727"/>
      <c r="H99" s="728"/>
      <c r="I99" s="728"/>
      <c r="J99" s="728"/>
      <c r="K99" s="728"/>
      <c r="L99" s="729" t="s">
        <v>1030</v>
      </c>
      <c r="M99" s="729"/>
      <c r="N99" s="729"/>
      <c r="O99" s="729"/>
      <c r="P99" s="201"/>
      <c r="Q99" s="201"/>
      <c r="R99" s="202"/>
    </row>
    <row r="100" spans="1:18" ht="60">
      <c r="A100" s="203" t="s">
        <v>1031</v>
      </c>
      <c r="B100" s="204" t="s">
        <v>1067</v>
      </c>
      <c r="C100" s="204" t="s">
        <v>1068</v>
      </c>
      <c r="D100" s="204" t="s">
        <v>1069</v>
      </c>
      <c r="E100" s="204" t="s">
        <v>340</v>
      </c>
      <c r="G100" s="204" t="s">
        <v>1032</v>
      </c>
      <c r="H100" s="204" t="s">
        <v>1033</v>
      </c>
      <c r="I100" s="204" t="s">
        <v>1034</v>
      </c>
      <c r="J100" s="204" t="s">
        <v>1035</v>
      </c>
      <c r="K100" s="204" t="s">
        <v>1036</v>
      </c>
      <c r="L100" s="204" t="s">
        <v>1037</v>
      </c>
      <c r="M100" s="204" t="s">
        <v>1038</v>
      </c>
      <c r="N100" s="204" t="s">
        <v>1039</v>
      </c>
      <c r="O100" s="204" t="s">
        <v>1040</v>
      </c>
      <c r="P100" s="204" t="s">
        <v>1041</v>
      </c>
      <c r="Q100" s="204" t="s">
        <v>1042</v>
      </c>
      <c r="R100" s="204" t="s">
        <v>1043</v>
      </c>
    </row>
    <row r="101" spans="1:18" ht="15">
      <c r="A101" s="205" t="s">
        <v>1044</v>
      </c>
      <c r="B101" s="128"/>
      <c r="C101" s="128"/>
      <c r="D101" s="128"/>
      <c r="E101" s="128"/>
      <c r="G101" s="128"/>
      <c r="H101" s="128"/>
      <c r="I101" s="128"/>
      <c r="J101" s="128"/>
      <c r="K101" s="128"/>
      <c r="L101" s="128"/>
      <c r="M101" s="128"/>
      <c r="N101" s="128"/>
      <c r="O101" s="128"/>
      <c r="P101" s="128"/>
      <c r="Q101" s="128"/>
      <c r="R101" s="206"/>
    </row>
    <row r="102" spans="1:18" ht="15">
      <c r="A102" s="127" t="s">
        <v>1045</v>
      </c>
      <c r="B102" s="8"/>
      <c r="C102" s="8"/>
      <c r="D102" s="8"/>
      <c r="E102" s="207">
        <f aca="true" t="shared" si="24" ref="E102:E107">SUM(B102:D102)</f>
        <v>0</v>
      </c>
      <c r="G102" s="8">
        <f>E102/4</f>
        <v>0</v>
      </c>
      <c r="H102" s="8"/>
      <c r="I102" s="8"/>
      <c r="J102" s="8">
        <f>G102</f>
        <v>0</v>
      </c>
      <c r="K102" s="8">
        <v>0</v>
      </c>
      <c r="L102" s="8">
        <v>0</v>
      </c>
      <c r="M102" s="8">
        <f>J102</f>
        <v>0</v>
      </c>
      <c r="N102" s="8">
        <v>0</v>
      </c>
      <c r="O102" s="8">
        <v>0</v>
      </c>
      <c r="P102" s="8">
        <f>M102</f>
        <v>0</v>
      </c>
      <c r="Q102" s="8">
        <v>0</v>
      </c>
      <c r="R102" s="8">
        <v>0</v>
      </c>
    </row>
    <row r="103" spans="1:18" ht="15">
      <c r="A103" s="127" t="s">
        <v>1046</v>
      </c>
      <c r="B103" s="8">
        <v>92863000</v>
      </c>
      <c r="C103" s="8">
        <v>106934000</v>
      </c>
      <c r="D103" s="8"/>
      <c r="E103" s="207">
        <f t="shared" si="24"/>
        <v>199797000</v>
      </c>
      <c r="G103" s="8">
        <f>E103/4</f>
        <v>49949250</v>
      </c>
      <c r="H103" s="8"/>
      <c r="I103" s="8"/>
      <c r="J103" s="8">
        <f>G103</f>
        <v>49949250</v>
      </c>
      <c r="K103" s="8">
        <v>0</v>
      </c>
      <c r="L103" s="8">
        <v>0</v>
      </c>
      <c r="M103" s="8">
        <f>J103</f>
        <v>49949250</v>
      </c>
      <c r="N103" s="8">
        <v>0</v>
      </c>
      <c r="O103" s="8">
        <v>0</v>
      </c>
      <c r="P103" s="8">
        <f>M103</f>
        <v>49949250</v>
      </c>
      <c r="Q103" s="8">
        <v>0</v>
      </c>
      <c r="R103" s="8">
        <v>0</v>
      </c>
    </row>
    <row r="104" spans="1:18" ht="15">
      <c r="A104" s="127" t="s">
        <v>1047</v>
      </c>
      <c r="B104" s="8"/>
      <c r="C104" s="8"/>
      <c r="D104" s="8"/>
      <c r="E104" s="207">
        <f t="shared" si="24"/>
        <v>0</v>
      </c>
      <c r="G104" s="8"/>
      <c r="H104" s="8"/>
      <c r="I104" s="8"/>
      <c r="J104" s="8"/>
      <c r="K104" s="8"/>
      <c r="L104" s="8"/>
      <c r="M104" s="8"/>
      <c r="N104" s="8"/>
      <c r="O104" s="8"/>
      <c r="P104" s="8"/>
      <c r="Q104" s="8"/>
      <c r="R104" s="8"/>
    </row>
    <row r="105" spans="1:18" ht="15">
      <c r="A105" s="127" t="s">
        <v>1048</v>
      </c>
      <c r="B105" s="8"/>
      <c r="C105" s="8"/>
      <c r="D105" s="8">
        <v>0</v>
      </c>
      <c r="E105" s="207">
        <f t="shared" si="24"/>
        <v>0</v>
      </c>
      <c r="G105" s="8"/>
      <c r="H105" s="8"/>
      <c r="I105" s="8"/>
      <c r="J105" s="8"/>
      <c r="K105" s="8"/>
      <c r="L105" s="8"/>
      <c r="M105" s="8"/>
      <c r="N105" s="8"/>
      <c r="O105" s="8"/>
      <c r="P105" s="8"/>
      <c r="Q105" s="8"/>
      <c r="R105" s="8"/>
    </row>
    <row r="106" spans="1:18" ht="15">
      <c r="A106" s="127" t="s">
        <v>913</v>
      </c>
      <c r="B106" s="8"/>
      <c r="C106" s="8"/>
      <c r="D106" s="8"/>
      <c r="E106" s="207">
        <f t="shared" si="24"/>
        <v>0</v>
      </c>
      <c r="G106" s="8"/>
      <c r="H106" s="8"/>
      <c r="I106" s="8"/>
      <c r="J106" s="8"/>
      <c r="K106" s="8"/>
      <c r="L106" s="8"/>
      <c r="M106" s="8"/>
      <c r="N106" s="8"/>
      <c r="O106" s="8"/>
      <c r="P106" s="8"/>
      <c r="Q106" s="8"/>
      <c r="R106" s="8"/>
    </row>
    <row r="107" spans="1:18" ht="15">
      <c r="A107" s="127" t="s">
        <v>1017</v>
      </c>
      <c r="B107" s="8"/>
      <c r="C107" s="8"/>
      <c r="D107" s="8"/>
      <c r="E107" s="207">
        <f t="shared" si="24"/>
        <v>0</v>
      </c>
      <c r="G107" s="8"/>
      <c r="H107" s="8"/>
      <c r="I107" s="8"/>
      <c r="J107" s="8"/>
      <c r="K107" s="8"/>
      <c r="L107" s="8"/>
      <c r="M107" s="8"/>
      <c r="N107" s="8"/>
      <c r="O107" s="8"/>
      <c r="P107" s="8"/>
      <c r="Q107" s="8"/>
      <c r="R107" s="8"/>
    </row>
    <row r="108" spans="1:18" ht="15">
      <c r="A108" s="208" t="s">
        <v>1049</v>
      </c>
      <c r="B108" s="209">
        <f>SUM(B101:B107)</f>
        <v>92863000</v>
      </c>
      <c r="C108" s="209">
        <f>SUM(C101:C107)</f>
        <v>106934000</v>
      </c>
      <c r="D108" s="209">
        <f>SUM(D101:D107)</f>
        <v>0</v>
      </c>
      <c r="E108" s="209">
        <f>SUM(E101:E107)</f>
        <v>199797000</v>
      </c>
      <c r="G108" s="209">
        <f aca="true" t="shared" si="25" ref="G108:R108">SUM(G101:G107)</f>
        <v>49949250</v>
      </c>
      <c r="H108" s="209">
        <f t="shared" si="25"/>
        <v>0</v>
      </c>
      <c r="I108" s="209">
        <f t="shared" si="25"/>
        <v>0</v>
      </c>
      <c r="J108" s="209">
        <f t="shared" si="25"/>
        <v>49949250</v>
      </c>
      <c r="K108" s="209">
        <f t="shared" si="25"/>
        <v>0</v>
      </c>
      <c r="L108" s="209">
        <f t="shared" si="25"/>
        <v>0</v>
      </c>
      <c r="M108" s="209">
        <f t="shared" si="25"/>
        <v>49949250</v>
      </c>
      <c r="N108" s="209">
        <f t="shared" si="25"/>
        <v>0</v>
      </c>
      <c r="O108" s="209">
        <f t="shared" si="25"/>
        <v>0</v>
      </c>
      <c r="P108" s="209">
        <f t="shared" si="25"/>
        <v>49949250</v>
      </c>
      <c r="Q108" s="209">
        <f t="shared" si="25"/>
        <v>0</v>
      </c>
      <c r="R108" s="209">
        <f t="shared" si="25"/>
        <v>0</v>
      </c>
    </row>
    <row r="109" ht="15">
      <c r="R109" s="2"/>
    </row>
    <row r="110" spans="1:18" ht="15">
      <c r="A110" s="3" t="s">
        <v>1050</v>
      </c>
      <c r="R110" s="2"/>
    </row>
    <row r="111" spans="1:18" ht="15">
      <c r="A111" s="127" t="s">
        <v>900</v>
      </c>
      <c r="B111" s="8">
        <v>40396865</v>
      </c>
      <c r="C111" s="8">
        <v>69636000</v>
      </c>
      <c r="D111" s="8">
        <v>0</v>
      </c>
      <c r="E111" s="207">
        <f>SUM(B111:D111)</f>
        <v>110032865</v>
      </c>
      <c r="G111" s="8">
        <f>E111/12</f>
        <v>9169405.416666666</v>
      </c>
      <c r="H111" s="8">
        <f>G111</f>
        <v>9169405.416666666</v>
      </c>
      <c r="I111" s="8">
        <f aca="true" t="shared" si="26" ref="I111:R112">H111</f>
        <v>9169405.416666666</v>
      </c>
      <c r="J111" s="8">
        <f t="shared" si="26"/>
        <v>9169405.416666666</v>
      </c>
      <c r="K111" s="8">
        <f t="shared" si="26"/>
        <v>9169405.416666666</v>
      </c>
      <c r="L111" s="8">
        <f t="shared" si="26"/>
        <v>9169405.416666666</v>
      </c>
      <c r="M111" s="8">
        <f t="shared" si="26"/>
        <v>9169405.416666666</v>
      </c>
      <c r="N111" s="8">
        <f t="shared" si="26"/>
        <v>9169405.416666666</v>
      </c>
      <c r="O111" s="8">
        <f t="shared" si="26"/>
        <v>9169405.416666666</v>
      </c>
      <c r="P111" s="8">
        <f t="shared" si="26"/>
        <v>9169405.416666666</v>
      </c>
      <c r="Q111" s="8">
        <f t="shared" si="26"/>
        <v>9169405.416666666</v>
      </c>
      <c r="R111" s="8">
        <f t="shared" si="26"/>
        <v>9169405.416666666</v>
      </c>
    </row>
    <row r="112" spans="1:18" ht="15">
      <c r="A112" s="127" t="s">
        <v>1051</v>
      </c>
      <c r="B112" s="8">
        <v>9970506</v>
      </c>
      <c r="C112" s="8">
        <v>15965375</v>
      </c>
      <c r="D112" s="8">
        <v>0</v>
      </c>
      <c r="E112" s="207">
        <f>SUM(B112:D112)</f>
        <v>25935881</v>
      </c>
      <c r="G112" s="8">
        <f>E112/12</f>
        <v>2161323.4166666665</v>
      </c>
      <c r="H112" s="8">
        <f>G112</f>
        <v>2161323.4166666665</v>
      </c>
      <c r="I112" s="8">
        <f t="shared" si="26"/>
        <v>2161323.4166666665</v>
      </c>
      <c r="J112" s="8">
        <f t="shared" si="26"/>
        <v>2161323.4166666665</v>
      </c>
      <c r="K112" s="8">
        <f t="shared" si="26"/>
        <v>2161323.4166666665</v>
      </c>
      <c r="L112" s="8">
        <f t="shared" si="26"/>
        <v>2161323.4166666665</v>
      </c>
      <c r="M112" s="8">
        <f t="shared" si="26"/>
        <v>2161323.4166666665</v>
      </c>
      <c r="N112" s="8">
        <f t="shared" si="26"/>
        <v>2161323.4166666665</v>
      </c>
      <c r="O112" s="8">
        <f t="shared" si="26"/>
        <v>2161323.4166666665</v>
      </c>
      <c r="P112" s="8">
        <f t="shared" si="26"/>
        <v>2161323.4166666665</v>
      </c>
      <c r="Q112" s="8">
        <f t="shared" si="26"/>
        <v>2161323.4166666665</v>
      </c>
      <c r="R112" s="8">
        <f t="shared" si="26"/>
        <v>2161323.4166666665</v>
      </c>
    </row>
    <row r="113" spans="1:18" ht="15">
      <c r="A113" s="210" t="s">
        <v>902</v>
      </c>
      <c r="B113" s="211">
        <f>SUM(B111:B112)</f>
        <v>50367371</v>
      </c>
      <c r="C113" s="211">
        <f>SUM(C111:C112)</f>
        <v>85601375</v>
      </c>
      <c r="D113" s="211">
        <f>SUM(D111:D112)</f>
        <v>0</v>
      </c>
      <c r="E113" s="209">
        <f>SUM(E111:E112)</f>
        <v>135968746</v>
      </c>
      <c r="G113" s="211">
        <f aca="true" t="shared" si="27" ref="G113:R113">SUM(G111:G112)</f>
        <v>11330728.833333332</v>
      </c>
      <c r="H113" s="211">
        <f t="shared" si="27"/>
        <v>11330728.833333332</v>
      </c>
      <c r="I113" s="211">
        <f t="shared" si="27"/>
        <v>11330728.833333332</v>
      </c>
      <c r="J113" s="211">
        <f t="shared" si="27"/>
        <v>11330728.833333332</v>
      </c>
      <c r="K113" s="211">
        <f t="shared" si="27"/>
        <v>11330728.833333332</v>
      </c>
      <c r="L113" s="211">
        <f t="shared" si="27"/>
        <v>11330728.833333332</v>
      </c>
      <c r="M113" s="211">
        <f t="shared" si="27"/>
        <v>11330728.833333332</v>
      </c>
      <c r="N113" s="211">
        <f t="shared" si="27"/>
        <v>11330728.833333332</v>
      </c>
      <c r="O113" s="211">
        <f t="shared" si="27"/>
        <v>11330728.833333332</v>
      </c>
      <c r="P113" s="211">
        <f t="shared" si="27"/>
        <v>11330728.833333332</v>
      </c>
      <c r="Q113" s="211">
        <f t="shared" si="27"/>
        <v>11330728.833333332</v>
      </c>
      <c r="R113" s="211">
        <f t="shared" si="27"/>
        <v>11330728.833333332</v>
      </c>
    </row>
    <row r="114" spans="1:18" ht="15">
      <c r="A114" s="3"/>
      <c r="B114" s="153"/>
      <c r="C114" s="153"/>
      <c r="D114" s="153"/>
      <c r="E114" s="153"/>
      <c r="G114" s="153"/>
      <c r="H114" s="153"/>
      <c r="I114" s="153"/>
      <c r="J114" s="153"/>
      <c r="K114" s="153"/>
      <c r="L114" s="153"/>
      <c r="M114" s="153"/>
      <c r="N114" s="153"/>
      <c r="O114" s="153"/>
      <c r="P114" s="153"/>
      <c r="Q114" s="153"/>
      <c r="R114" s="153"/>
    </row>
    <row r="115" spans="1:18" ht="15">
      <c r="A115" s="127" t="s">
        <v>1052</v>
      </c>
      <c r="B115" s="8">
        <v>1946000</v>
      </c>
      <c r="C115" s="8">
        <v>2115000</v>
      </c>
      <c r="D115" s="8">
        <v>0</v>
      </c>
      <c r="E115" s="207">
        <f>SUM(B115:D115)</f>
        <v>4061000</v>
      </c>
      <c r="G115" s="8">
        <f>E115/4</f>
        <v>1015250</v>
      </c>
      <c r="H115" s="8"/>
      <c r="I115" s="8"/>
      <c r="J115" s="8">
        <f>G115</f>
        <v>1015250</v>
      </c>
      <c r="K115" s="8">
        <v>0</v>
      </c>
      <c r="L115" s="8">
        <v>0</v>
      </c>
      <c r="M115" s="8">
        <f>J115</f>
        <v>1015250</v>
      </c>
      <c r="N115" s="8">
        <v>0</v>
      </c>
      <c r="O115" s="8">
        <v>0</v>
      </c>
      <c r="P115" s="8">
        <f>M115</f>
        <v>1015250</v>
      </c>
      <c r="Q115" s="8">
        <v>0</v>
      </c>
      <c r="R115" s="8">
        <v>0</v>
      </c>
    </row>
    <row r="116" spans="1:18" ht="15">
      <c r="A116" s="127" t="s">
        <v>1053</v>
      </c>
      <c r="B116" s="8">
        <v>21873712</v>
      </c>
      <c r="C116" s="8">
        <v>15775860</v>
      </c>
      <c r="D116" s="8">
        <v>0</v>
      </c>
      <c r="E116" s="207">
        <f>SUM(B116:D116)</f>
        <v>37649572</v>
      </c>
      <c r="G116" s="8">
        <f>E116/12</f>
        <v>3137464.3333333335</v>
      </c>
      <c r="H116" s="8">
        <f aca="true" t="shared" si="28" ref="H116:R117">G116</f>
        <v>3137464.3333333335</v>
      </c>
      <c r="I116" s="8">
        <f t="shared" si="28"/>
        <v>3137464.3333333335</v>
      </c>
      <c r="J116" s="8">
        <f t="shared" si="28"/>
        <v>3137464.3333333335</v>
      </c>
      <c r="K116" s="8">
        <f t="shared" si="28"/>
        <v>3137464.3333333335</v>
      </c>
      <c r="L116" s="8">
        <f t="shared" si="28"/>
        <v>3137464.3333333335</v>
      </c>
      <c r="M116" s="8">
        <f t="shared" si="28"/>
        <v>3137464.3333333335</v>
      </c>
      <c r="N116" s="8">
        <f t="shared" si="28"/>
        <v>3137464.3333333335</v>
      </c>
      <c r="O116" s="8">
        <f t="shared" si="28"/>
        <v>3137464.3333333335</v>
      </c>
      <c r="P116" s="8">
        <f t="shared" si="28"/>
        <v>3137464.3333333335</v>
      </c>
      <c r="Q116" s="8">
        <f t="shared" si="28"/>
        <v>3137464.3333333335</v>
      </c>
      <c r="R116" s="8">
        <f t="shared" si="28"/>
        <v>3137464.3333333335</v>
      </c>
    </row>
    <row r="117" spans="1:18" ht="15">
      <c r="A117" s="127" t="s">
        <v>500</v>
      </c>
      <c r="B117" s="8">
        <v>5088117</v>
      </c>
      <c r="C117" s="8">
        <v>3441765</v>
      </c>
      <c r="D117" s="8">
        <v>0</v>
      </c>
      <c r="E117" s="207">
        <f>SUM(B117:D117)</f>
        <v>8529882</v>
      </c>
      <c r="G117" s="8">
        <f>E117/12</f>
        <v>710823.5</v>
      </c>
      <c r="H117" s="8">
        <f t="shared" si="28"/>
        <v>710823.5</v>
      </c>
      <c r="I117" s="8">
        <f t="shared" si="28"/>
        <v>710823.5</v>
      </c>
      <c r="J117" s="8">
        <f t="shared" si="28"/>
        <v>710823.5</v>
      </c>
      <c r="K117" s="8">
        <f t="shared" si="28"/>
        <v>710823.5</v>
      </c>
      <c r="L117" s="8">
        <f t="shared" si="28"/>
        <v>710823.5</v>
      </c>
      <c r="M117" s="8">
        <f t="shared" si="28"/>
        <v>710823.5</v>
      </c>
      <c r="N117" s="8">
        <f t="shared" si="28"/>
        <v>710823.5</v>
      </c>
      <c r="O117" s="8">
        <f t="shared" si="28"/>
        <v>710823.5</v>
      </c>
      <c r="P117" s="8">
        <f t="shared" si="28"/>
        <v>710823.5</v>
      </c>
      <c r="Q117" s="8">
        <f t="shared" si="28"/>
        <v>710823.5</v>
      </c>
      <c r="R117" s="8">
        <f t="shared" si="28"/>
        <v>710823.5</v>
      </c>
    </row>
    <row r="118" spans="1:18" ht="15">
      <c r="A118" s="214" t="s">
        <v>1054</v>
      </c>
      <c r="B118" s="215">
        <f>SUM(B115:B117)</f>
        <v>28907829</v>
      </c>
      <c r="C118" s="215">
        <f>SUM(C115:C117)</f>
        <v>21332625</v>
      </c>
      <c r="D118" s="215">
        <f>SUM(D115:D117)</f>
        <v>0</v>
      </c>
      <c r="E118" s="216">
        <f>SUM(E115:E117)</f>
        <v>50240454</v>
      </c>
      <c r="G118" s="215">
        <f aca="true" t="shared" si="29" ref="G118:R118">SUM(G115:G117)</f>
        <v>4863537.833333334</v>
      </c>
      <c r="H118" s="215">
        <f t="shared" si="29"/>
        <v>3848287.8333333335</v>
      </c>
      <c r="I118" s="215">
        <f t="shared" si="29"/>
        <v>3848287.8333333335</v>
      </c>
      <c r="J118" s="215">
        <f t="shared" si="29"/>
        <v>4863537.833333334</v>
      </c>
      <c r="K118" s="215">
        <f t="shared" si="29"/>
        <v>3848287.8333333335</v>
      </c>
      <c r="L118" s="215">
        <f t="shared" si="29"/>
        <v>3848287.8333333335</v>
      </c>
      <c r="M118" s="215">
        <f t="shared" si="29"/>
        <v>4863537.833333334</v>
      </c>
      <c r="N118" s="215">
        <f t="shared" si="29"/>
        <v>3848287.8333333335</v>
      </c>
      <c r="O118" s="215">
        <f t="shared" si="29"/>
        <v>3848287.8333333335</v>
      </c>
      <c r="P118" s="215">
        <f t="shared" si="29"/>
        <v>4863537.833333334</v>
      </c>
      <c r="Q118" s="215">
        <f t="shared" si="29"/>
        <v>3848287.8333333335</v>
      </c>
      <c r="R118" s="215">
        <f t="shared" si="29"/>
        <v>3848287.8333333335</v>
      </c>
    </row>
    <row r="119" ht="15">
      <c r="R119" s="2"/>
    </row>
    <row r="120" spans="1:18" ht="15">
      <c r="A120" s="219" t="s">
        <v>1055</v>
      </c>
      <c r="B120" s="8">
        <v>0</v>
      </c>
      <c r="C120" s="8">
        <v>0</v>
      </c>
      <c r="D120" s="8">
        <v>0</v>
      </c>
      <c r="E120" s="207">
        <f>SUM(B120:D120)</f>
        <v>0</v>
      </c>
      <c r="G120" s="8">
        <v>0</v>
      </c>
      <c r="H120" s="8">
        <v>0</v>
      </c>
      <c r="I120" s="8">
        <v>0</v>
      </c>
      <c r="J120" s="8">
        <v>0</v>
      </c>
      <c r="K120" s="8">
        <v>0</v>
      </c>
      <c r="L120" s="8">
        <v>0</v>
      </c>
      <c r="M120" s="8">
        <v>0</v>
      </c>
      <c r="N120" s="8">
        <v>0</v>
      </c>
      <c r="O120" s="8">
        <v>0</v>
      </c>
      <c r="P120" s="8">
        <v>0</v>
      </c>
      <c r="Q120" s="8">
        <v>0</v>
      </c>
      <c r="R120" s="8">
        <v>0</v>
      </c>
    </row>
    <row r="121" ht="15">
      <c r="R121" s="2"/>
    </row>
    <row r="122" spans="1:18" ht="15">
      <c r="A122" s="127" t="s">
        <v>901</v>
      </c>
      <c r="B122" s="8">
        <v>9854000</v>
      </c>
      <c r="C122" s="8">
        <v>0</v>
      </c>
      <c r="D122" s="8">
        <v>0</v>
      </c>
      <c r="E122" s="207">
        <f>SUM(B122:D122)</f>
        <v>9854000</v>
      </c>
      <c r="G122" s="8">
        <f>E122/12</f>
        <v>821166.6666666666</v>
      </c>
      <c r="H122" s="8">
        <f>G122</f>
        <v>821166.6666666666</v>
      </c>
      <c r="I122" s="8">
        <f aca="true" t="shared" si="30" ref="I122:R122">H122</f>
        <v>821166.6666666666</v>
      </c>
      <c r="J122" s="8">
        <f t="shared" si="30"/>
        <v>821166.6666666666</v>
      </c>
      <c r="K122" s="8">
        <f t="shared" si="30"/>
        <v>821166.6666666666</v>
      </c>
      <c r="L122" s="8">
        <f t="shared" si="30"/>
        <v>821166.6666666666</v>
      </c>
      <c r="M122" s="8">
        <f t="shared" si="30"/>
        <v>821166.6666666666</v>
      </c>
      <c r="N122" s="8">
        <f t="shared" si="30"/>
        <v>821166.6666666666</v>
      </c>
      <c r="O122" s="8">
        <f t="shared" si="30"/>
        <v>821166.6666666666</v>
      </c>
      <c r="P122" s="8">
        <f t="shared" si="30"/>
        <v>821166.6666666666</v>
      </c>
      <c r="Q122" s="8">
        <f t="shared" si="30"/>
        <v>821166.6666666666</v>
      </c>
      <c r="R122" s="8">
        <f t="shared" si="30"/>
        <v>821166.6666666666</v>
      </c>
    </row>
    <row r="123" spans="1:18" ht="15">
      <c r="A123" s="127" t="s">
        <v>299</v>
      </c>
      <c r="B123" s="8">
        <v>0</v>
      </c>
      <c r="C123" s="8">
        <v>0</v>
      </c>
      <c r="D123" s="8">
        <v>0</v>
      </c>
      <c r="E123" s="207">
        <f>SUM(B123:D123)</f>
        <v>0</v>
      </c>
      <c r="G123" s="8">
        <v>0</v>
      </c>
      <c r="H123" s="8">
        <v>0</v>
      </c>
      <c r="I123" s="8">
        <v>0</v>
      </c>
      <c r="J123" s="8">
        <v>0</v>
      </c>
      <c r="K123" s="8">
        <v>0</v>
      </c>
      <c r="L123" s="8">
        <v>0</v>
      </c>
      <c r="M123" s="8">
        <v>0</v>
      </c>
      <c r="N123" s="8">
        <v>0</v>
      </c>
      <c r="O123" s="8">
        <v>0</v>
      </c>
      <c r="P123" s="8">
        <v>0</v>
      </c>
      <c r="Q123" s="8">
        <v>0</v>
      </c>
      <c r="R123" s="8">
        <v>0</v>
      </c>
    </row>
    <row r="124" spans="1:18" ht="15">
      <c r="A124" s="214" t="s">
        <v>1056</v>
      </c>
      <c r="B124" s="215">
        <f>SUM(B122:B123)</f>
        <v>9854000</v>
      </c>
      <c r="C124" s="215">
        <f>SUM(C122:C123)</f>
        <v>0</v>
      </c>
      <c r="D124" s="215">
        <f>SUM(D122:D123)</f>
        <v>0</v>
      </c>
      <c r="E124" s="216">
        <f>SUM(E122:E123)</f>
        <v>9854000</v>
      </c>
      <c r="G124" s="215">
        <f aca="true" t="shared" si="31" ref="G124:R124">SUM(G122:G123)</f>
        <v>821166.6666666666</v>
      </c>
      <c r="H124" s="215">
        <f t="shared" si="31"/>
        <v>821166.6666666666</v>
      </c>
      <c r="I124" s="215">
        <f t="shared" si="31"/>
        <v>821166.6666666666</v>
      </c>
      <c r="J124" s="215">
        <f t="shared" si="31"/>
        <v>821166.6666666666</v>
      </c>
      <c r="K124" s="215">
        <f t="shared" si="31"/>
        <v>821166.6666666666</v>
      </c>
      <c r="L124" s="215">
        <f t="shared" si="31"/>
        <v>821166.6666666666</v>
      </c>
      <c r="M124" s="215">
        <f t="shared" si="31"/>
        <v>821166.6666666666</v>
      </c>
      <c r="N124" s="215">
        <f t="shared" si="31"/>
        <v>821166.6666666666</v>
      </c>
      <c r="O124" s="215">
        <f t="shared" si="31"/>
        <v>821166.6666666666</v>
      </c>
      <c r="P124" s="215">
        <f t="shared" si="31"/>
        <v>821166.6666666666</v>
      </c>
      <c r="Q124" s="215">
        <f t="shared" si="31"/>
        <v>821166.6666666666</v>
      </c>
      <c r="R124" s="215">
        <f t="shared" si="31"/>
        <v>821166.6666666666</v>
      </c>
    </row>
    <row r="125" spans="1:18" ht="15">
      <c r="A125" s="154" t="s">
        <v>1057</v>
      </c>
      <c r="B125" s="155">
        <f>B124+B118+B113</f>
        <v>89129200</v>
      </c>
      <c r="C125" s="155">
        <f>C124+C118+C113</f>
        <v>106934000</v>
      </c>
      <c r="D125" s="155">
        <f>D124+D118+D113</f>
        <v>0</v>
      </c>
      <c r="E125" s="216">
        <f>SUM(E122:E124)</f>
        <v>19708000</v>
      </c>
      <c r="G125" s="155">
        <f aca="true" t="shared" si="32" ref="G125:R125">G124+G118+G113</f>
        <v>17015433.333333332</v>
      </c>
      <c r="H125" s="155">
        <f t="shared" si="32"/>
        <v>16000183.333333332</v>
      </c>
      <c r="I125" s="155">
        <f t="shared" si="32"/>
        <v>16000183.333333332</v>
      </c>
      <c r="J125" s="155">
        <f t="shared" si="32"/>
        <v>17015433.333333332</v>
      </c>
      <c r="K125" s="155">
        <f t="shared" si="32"/>
        <v>16000183.333333332</v>
      </c>
      <c r="L125" s="155">
        <f t="shared" si="32"/>
        <v>16000183.333333332</v>
      </c>
      <c r="M125" s="155">
        <f t="shared" si="32"/>
        <v>17015433.333333332</v>
      </c>
      <c r="N125" s="155">
        <f t="shared" si="32"/>
        <v>16000183.333333332</v>
      </c>
      <c r="O125" s="155">
        <f t="shared" si="32"/>
        <v>16000183.333333332</v>
      </c>
      <c r="P125" s="155">
        <f t="shared" si="32"/>
        <v>17015433.333333332</v>
      </c>
      <c r="Q125" s="155">
        <f t="shared" si="32"/>
        <v>16000183.333333332</v>
      </c>
      <c r="R125" s="155">
        <f t="shared" si="32"/>
        <v>16000183.333333332</v>
      </c>
    </row>
    <row r="126" ht="15">
      <c r="R126" s="2"/>
    </row>
    <row r="127" ht="15">
      <c r="R127" s="2"/>
    </row>
    <row r="128" spans="1:18" ht="15">
      <c r="A128" s="127" t="s">
        <v>1058</v>
      </c>
      <c r="B128" s="8">
        <v>2463800</v>
      </c>
      <c r="C128" s="8">
        <v>0</v>
      </c>
      <c r="D128" s="8">
        <v>0</v>
      </c>
      <c r="E128" s="207">
        <f>SUM(B128:D128)</f>
        <v>2463800</v>
      </c>
      <c r="G128" s="8">
        <f>E128/12</f>
        <v>205316.66666666666</v>
      </c>
      <c r="H128" s="8">
        <f>G128</f>
        <v>205316.66666666666</v>
      </c>
      <c r="I128" s="8">
        <f aca="true" t="shared" si="33" ref="I128:R128">H128</f>
        <v>205316.66666666666</v>
      </c>
      <c r="J128" s="8">
        <f t="shared" si="33"/>
        <v>205316.66666666666</v>
      </c>
      <c r="K128" s="8">
        <f t="shared" si="33"/>
        <v>205316.66666666666</v>
      </c>
      <c r="L128" s="8">
        <f t="shared" si="33"/>
        <v>205316.66666666666</v>
      </c>
      <c r="M128" s="8">
        <f t="shared" si="33"/>
        <v>205316.66666666666</v>
      </c>
      <c r="N128" s="8">
        <f t="shared" si="33"/>
        <v>205316.66666666666</v>
      </c>
      <c r="O128" s="8">
        <f t="shared" si="33"/>
        <v>205316.66666666666</v>
      </c>
      <c r="P128" s="8">
        <f t="shared" si="33"/>
        <v>205316.66666666666</v>
      </c>
      <c r="Q128" s="8">
        <f t="shared" si="33"/>
        <v>205316.66666666666</v>
      </c>
      <c r="R128" s="8">
        <f t="shared" si="33"/>
        <v>205316.66666666666</v>
      </c>
    </row>
    <row r="129" spans="1:18" ht="15">
      <c r="A129" s="220" t="s">
        <v>1059</v>
      </c>
      <c r="B129" s="142">
        <f>SUM(B128:B128)</f>
        <v>2463800</v>
      </c>
      <c r="C129" s="142">
        <f>SUM(C128:C128)</f>
        <v>0</v>
      </c>
      <c r="D129" s="142">
        <f>SUM(D128:D128)</f>
        <v>0</v>
      </c>
      <c r="E129" s="216">
        <f>SUM(E128:E128)</f>
        <v>2463800</v>
      </c>
      <c r="G129" s="142">
        <f aca="true" t="shared" si="34" ref="G129:R129">SUM(G128:G128)</f>
        <v>205316.66666666666</v>
      </c>
      <c r="H129" s="142">
        <f t="shared" si="34"/>
        <v>205316.66666666666</v>
      </c>
      <c r="I129" s="142">
        <f t="shared" si="34"/>
        <v>205316.66666666666</v>
      </c>
      <c r="J129" s="142">
        <f t="shared" si="34"/>
        <v>205316.66666666666</v>
      </c>
      <c r="K129" s="142">
        <f t="shared" si="34"/>
        <v>205316.66666666666</v>
      </c>
      <c r="L129" s="142">
        <f t="shared" si="34"/>
        <v>205316.66666666666</v>
      </c>
      <c r="M129" s="142">
        <f t="shared" si="34"/>
        <v>205316.66666666666</v>
      </c>
      <c r="N129" s="142">
        <f t="shared" si="34"/>
        <v>205316.66666666666</v>
      </c>
      <c r="O129" s="142">
        <f t="shared" si="34"/>
        <v>205316.66666666666</v>
      </c>
      <c r="P129" s="142">
        <f t="shared" si="34"/>
        <v>205316.66666666666</v>
      </c>
      <c r="Q129" s="142">
        <f t="shared" si="34"/>
        <v>205316.66666666666</v>
      </c>
      <c r="R129" s="142">
        <f t="shared" si="34"/>
        <v>205316.66666666666</v>
      </c>
    </row>
    <row r="130" spans="1:18" ht="15">
      <c r="A130" s="127" t="s">
        <v>322</v>
      </c>
      <c r="B130" s="8">
        <v>1270000</v>
      </c>
      <c r="C130" s="8">
        <v>0</v>
      </c>
      <c r="D130" s="8">
        <v>0</v>
      </c>
      <c r="E130" s="207">
        <f>SUM(B130:D130)</f>
        <v>1270000</v>
      </c>
      <c r="G130" s="8">
        <f>E130/12</f>
        <v>105833.33333333333</v>
      </c>
      <c r="H130" s="8">
        <f>G130</f>
        <v>105833.33333333333</v>
      </c>
      <c r="I130" s="8">
        <f aca="true" t="shared" si="35" ref="I130:R130">H130</f>
        <v>105833.33333333333</v>
      </c>
      <c r="J130" s="8">
        <f t="shared" si="35"/>
        <v>105833.33333333333</v>
      </c>
      <c r="K130" s="8">
        <f t="shared" si="35"/>
        <v>105833.33333333333</v>
      </c>
      <c r="L130" s="8">
        <f t="shared" si="35"/>
        <v>105833.33333333333</v>
      </c>
      <c r="M130" s="8">
        <f t="shared" si="35"/>
        <v>105833.33333333333</v>
      </c>
      <c r="N130" s="8">
        <f t="shared" si="35"/>
        <v>105833.33333333333</v>
      </c>
      <c r="O130" s="8">
        <f t="shared" si="35"/>
        <v>105833.33333333333</v>
      </c>
      <c r="P130" s="8">
        <f t="shared" si="35"/>
        <v>105833.33333333333</v>
      </c>
      <c r="Q130" s="8">
        <f t="shared" si="35"/>
        <v>105833.33333333333</v>
      </c>
      <c r="R130" s="8">
        <f t="shared" si="35"/>
        <v>105833.33333333333</v>
      </c>
    </row>
    <row r="131" spans="1:18" ht="15">
      <c r="A131" s="220" t="s">
        <v>1060</v>
      </c>
      <c r="B131" s="142">
        <f>SUM(B130:B130)</f>
        <v>1270000</v>
      </c>
      <c r="C131" s="142">
        <f>SUM(C130:C130)</f>
        <v>0</v>
      </c>
      <c r="D131" s="142">
        <f>SUM(D130:D130)</f>
        <v>0</v>
      </c>
      <c r="E131" s="216">
        <f>SUM(E130:E130)</f>
        <v>1270000</v>
      </c>
      <c r="G131" s="142">
        <f aca="true" t="shared" si="36" ref="G131:R131">SUM(G130:G130)</f>
        <v>105833.33333333333</v>
      </c>
      <c r="H131" s="142">
        <f t="shared" si="36"/>
        <v>105833.33333333333</v>
      </c>
      <c r="I131" s="142">
        <f t="shared" si="36"/>
        <v>105833.33333333333</v>
      </c>
      <c r="J131" s="142">
        <f t="shared" si="36"/>
        <v>105833.33333333333</v>
      </c>
      <c r="K131" s="142">
        <f t="shared" si="36"/>
        <v>105833.33333333333</v>
      </c>
      <c r="L131" s="142">
        <f t="shared" si="36"/>
        <v>105833.33333333333</v>
      </c>
      <c r="M131" s="142">
        <f t="shared" si="36"/>
        <v>105833.33333333333</v>
      </c>
      <c r="N131" s="142">
        <f t="shared" si="36"/>
        <v>105833.33333333333</v>
      </c>
      <c r="O131" s="142">
        <f t="shared" si="36"/>
        <v>105833.33333333333</v>
      </c>
      <c r="P131" s="142">
        <f t="shared" si="36"/>
        <v>105833.33333333333</v>
      </c>
      <c r="Q131" s="142">
        <f t="shared" si="36"/>
        <v>105833.33333333333</v>
      </c>
      <c r="R131" s="142">
        <f t="shared" si="36"/>
        <v>105833.33333333333</v>
      </c>
    </row>
    <row r="132" spans="1:18" ht="15">
      <c r="A132" s="210" t="s">
        <v>1061</v>
      </c>
      <c r="B132" s="211">
        <f>SUM(B131,B129)</f>
        <v>3733800</v>
      </c>
      <c r="C132" s="211">
        <f>SUM(C131,C129)</f>
        <v>0</v>
      </c>
      <c r="D132" s="211">
        <f>SUM(D131,D129)</f>
        <v>0</v>
      </c>
      <c r="E132" s="209">
        <f>SUM(E131,E129)</f>
        <v>3733800</v>
      </c>
      <c r="G132" s="211">
        <f aca="true" t="shared" si="37" ref="G132:R132">SUM(G131,G129)</f>
        <v>311150</v>
      </c>
      <c r="H132" s="211">
        <f t="shared" si="37"/>
        <v>311150</v>
      </c>
      <c r="I132" s="211">
        <f t="shared" si="37"/>
        <v>311150</v>
      </c>
      <c r="J132" s="211">
        <f t="shared" si="37"/>
        <v>311150</v>
      </c>
      <c r="K132" s="211">
        <f t="shared" si="37"/>
        <v>311150</v>
      </c>
      <c r="L132" s="211">
        <f t="shared" si="37"/>
        <v>311150</v>
      </c>
      <c r="M132" s="211">
        <f t="shared" si="37"/>
        <v>311150</v>
      </c>
      <c r="N132" s="211">
        <f t="shared" si="37"/>
        <v>311150</v>
      </c>
      <c r="O132" s="211">
        <f t="shared" si="37"/>
        <v>311150</v>
      </c>
      <c r="P132" s="211">
        <f t="shared" si="37"/>
        <v>311150</v>
      </c>
      <c r="Q132" s="211">
        <f t="shared" si="37"/>
        <v>311150</v>
      </c>
      <c r="R132" s="211">
        <f t="shared" si="37"/>
        <v>311150</v>
      </c>
    </row>
    <row r="133" spans="1:18" ht="15">
      <c r="A133" s="208" t="s">
        <v>1062</v>
      </c>
      <c r="B133" s="209">
        <f>B132+B124+B118+B113</f>
        <v>92863000</v>
      </c>
      <c r="C133" s="209">
        <f>C132+C124+C118+C113</f>
        <v>106934000</v>
      </c>
      <c r="D133" s="209">
        <f>D132+D124+D118+D113</f>
        <v>0</v>
      </c>
      <c r="E133" s="209">
        <f>E132+E124+E118+E113</f>
        <v>199797000</v>
      </c>
      <c r="G133" s="209">
        <f aca="true" t="shared" si="38" ref="G133:R133">G132+G124+G118+G113</f>
        <v>17326583.333333332</v>
      </c>
      <c r="H133" s="209">
        <f t="shared" si="38"/>
        <v>16311333.333333332</v>
      </c>
      <c r="I133" s="209">
        <f t="shared" si="38"/>
        <v>16311333.333333332</v>
      </c>
      <c r="J133" s="209">
        <f t="shared" si="38"/>
        <v>17326583.333333332</v>
      </c>
      <c r="K133" s="209">
        <f t="shared" si="38"/>
        <v>16311333.333333332</v>
      </c>
      <c r="L133" s="209">
        <f t="shared" si="38"/>
        <v>16311333.333333332</v>
      </c>
      <c r="M133" s="209">
        <f t="shared" si="38"/>
        <v>17326583.333333332</v>
      </c>
      <c r="N133" s="209">
        <f t="shared" si="38"/>
        <v>16311333.333333332</v>
      </c>
      <c r="O133" s="209">
        <f t="shared" si="38"/>
        <v>16311333.333333332</v>
      </c>
      <c r="P133" s="209">
        <f t="shared" si="38"/>
        <v>17326583.333333332</v>
      </c>
      <c r="Q133" s="209">
        <f t="shared" si="38"/>
        <v>16311333.333333332</v>
      </c>
      <c r="R133" s="209">
        <f t="shared" si="38"/>
        <v>16311333.333333332</v>
      </c>
    </row>
  </sheetData>
  <sheetProtection/>
  <mergeCells count="9">
    <mergeCell ref="B99:E99"/>
    <mergeCell ref="G99:K99"/>
    <mergeCell ref="L99:O99"/>
    <mergeCell ref="B6:E6"/>
    <mergeCell ref="G6:K6"/>
    <mergeCell ref="L6:O6"/>
    <mergeCell ref="B54:F54"/>
    <mergeCell ref="G54:K54"/>
    <mergeCell ref="L54:O5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MGO</dc:creator>
  <cp:keywords/>
  <dc:description/>
  <cp:lastModifiedBy>KenyeresG</cp:lastModifiedBy>
  <cp:lastPrinted>2020-03-13T09:05:40Z</cp:lastPrinted>
  <dcterms:created xsi:type="dcterms:W3CDTF">2014-09-10T10:23:57Z</dcterms:created>
  <dcterms:modified xsi:type="dcterms:W3CDTF">2020-08-31T11:12:04Z</dcterms:modified>
  <cp:category/>
  <cp:version/>
  <cp:contentType/>
  <cp:contentStatus/>
</cp:coreProperties>
</file>